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han\OneDrive\1 bouwen\Toon\"/>
    </mc:Choice>
  </mc:AlternateContent>
  <xr:revisionPtr revIDLastSave="290" documentId="8_{AF4E599A-50FC-4D4D-B26C-4E9DEA21F6AE}" xr6:coauthVersionLast="38" xr6:coauthVersionMax="38" xr10:uidLastSave="{79D4B392-FFF9-43D2-813B-56106923DA28}"/>
  <bookViews>
    <workbookView xWindow="0" yWindow="0" windowWidth="14380" windowHeight="6250" activeTab="1" xr2:uid="{00000000-000D-0000-FFFF-FFFF00000000}"/>
  </bookViews>
  <sheets>
    <sheet name="kavelprijs" sheetId="1" r:id="rId1"/>
    <sheet name="Initiatief" sheetId="2" r:id="rId2"/>
  </sheets>
  <definedNames>
    <definedName name="_xlnm.Print_Area" localSheetId="0">kavelprijs!$A$1:$I$79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8" i="2" l="1"/>
  <c r="A47" i="2"/>
  <c r="A37" i="2"/>
  <c r="A14" i="2"/>
  <c r="A6" i="2"/>
  <c r="B7" i="2"/>
  <c r="B8" i="2"/>
  <c r="B9" i="2"/>
  <c r="B10" i="2"/>
  <c r="D10" i="2"/>
  <c r="B11" i="2"/>
  <c r="B75" i="2"/>
  <c r="B81" i="2"/>
  <c r="D7" i="2"/>
  <c r="D8" i="2"/>
  <c r="D9" i="2"/>
  <c r="D11" i="2"/>
  <c r="D61" i="2"/>
  <c r="D74" i="2"/>
  <c r="D75" i="2"/>
  <c r="D76" i="2"/>
  <c r="D12" i="2"/>
  <c r="D13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B32" i="2"/>
  <c r="D32" i="2"/>
  <c r="D33" i="2"/>
  <c r="D34" i="2"/>
  <c r="D35" i="2"/>
  <c r="D36" i="2"/>
  <c r="D38" i="2"/>
  <c r="D39" i="2"/>
  <c r="D40" i="2"/>
  <c r="D41" i="2"/>
  <c r="D42" i="2"/>
  <c r="D43" i="2"/>
  <c r="D44" i="2"/>
  <c r="D45" i="2"/>
  <c r="D46" i="2"/>
  <c r="D48" i="2"/>
  <c r="D49" i="2"/>
  <c r="D50" i="2"/>
  <c r="D51" i="2"/>
  <c r="D53" i="2"/>
  <c r="D54" i="2"/>
  <c r="D55" i="2"/>
  <c r="D56" i="2"/>
  <c r="D57" i="2"/>
  <c r="D60" i="2"/>
  <c r="D62" i="2"/>
  <c r="D63" i="2"/>
  <c r="D64" i="2"/>
  <c r="D65" i="2"/>
  <c r="D66" i="2"/>
  <c r="D68" i="2"/>
  <c r="D69" i="2"/>
  <c r="D70" i="2"/>
  <c r="D71" i="2"/>
  <c r="D72" i="2"/>
  <c r="D73" i="2"/>
  <c r="C32" i="1"/>
  <c r="C38" i="1"/>
  <c r="H38" i="1"/>
  <c r="C41" i="1"/>
  <c r="C43" i="1"/>
  <c r="H43" i="1"/>
  <c r="B78" i="2"/>
  <c r="D77" i="2"/>
  <c r="D2" i="2"/>
  <c r="D32" i="1"/>
  <c r="E41" i="1"/>
  <c r="E43" i="1"/>
  <c r="G32" i="1"/>
  <c r="G41" i="1"/>
  <c r="G43" i="1"/>
  <c r="H46" i="1"/>
  <c r="C46" i="1"/>
  <c r="C24" i="1"/>
  <c r="D2" i="1"/>
  <c r="F2" i="1"/>
  <c r="E13" i="1"/>
  <c r="G13" i="1"/>
  <c r="D14" i="1"/>
  <c r="E20" i="1"/>
  <c r="G20" i="1"/>
  <c r="E21" i="1"/>
  <c r="G21" i="1"/>
  <c r="D24" i="1"/>
  <c r="G24" i="1"/>
  <c r="E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E33" i="1"/>
  <c r="G33" i="1"/>
  <c r="E34" i="1"/>
  <c r="G34" i="1"/>
  <c r="D37" i="1"/>
  <c r="E37" i="1"/>
  <c r="D38" i="1"/>
  <c r="G38" i="1"/>
  <c r="E46" i="1"/>
  <c r="G46" i="1"/>
  <c r="E48" i="1"/>
  <c r="G48" i="1"/>
  <c r="E49" i="1"/>
  <c r="G49" i="1"/>
  <c r="C31" i="1"/>
  <c r="C30" i="1"/>
  <c r="C29" i="1"/>
  <c r="C27" i="1"/>
  <c r="C33" i="1"/>
  <c r="C34" i="1"/>
  <c r="A33" i="1"/>
  <c r="C20" i="1"/>
  <c r="C21" i="1"/>
  <c r="M6" i="1"/>
  <c r="L6" i="1"/>
  <c r="K6" i="1"/>
  <c r="H7" i="1"/>
  <c r="H6" i="1"/>
  <c r="H8" i="1"/>
  <c r="C13" i="1"/>
  <c r="C25" i="1"/>
  <c r="C28" i="1"/>
  <c r="A26" i="1"/>
  <c r="A25" i="1"/>
  <c r="A23" i="1"/>
  <c r="C26" i="1"/>
  <c r="C49" i="1"/>
  <c r="C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Meijers</author>
  </authors>
  <commentList>
    <comment ref="H8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DE TOTALE PRIJS VOOR  DE GEKOZEN KAVEL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H19" authorId="0" shapeId="0" xr:uid="{00000000-0006-0000-0000-000002000000}">
      <text>
        <r>
          <rPr>
            <sz val="9"/>
            <color indexed="81"/>
            <rFont val="Calibri"/>
            <family val="2"/>
          </rPr>
          <t xml:space="preserve">
Deze gegevens komen uit het bestemmingsplan Oosterwold, (niet aanpassen)</t>
        </r>
      </text>
    </comment>
    <comment ref="H32" authorId="0" shapeId="0" xr:uid="{00000000-0006-0000-0000-000003000000}">
      <text>
        <r>
          <rPr>
            <sz val="9"/>
            <color indexed="81"/>
            <rFont val="Calibri"/>
            <family val="2"/>
          </rPr>
          <t xml:space="preserve">
Deze tabel wordt automatisch berekend. (niet aanpassen)</t>
        </r>
      </text>
    </comment>
    <comment ref="H38" authorId="0" shapeId="0" xr:uid="{00000000-0006-0000-0000-000004000000}">
      <text>
        <r>
          <rPr>
            <sz val="9"/>
            <color indexed="81"/>
            <rFont val="Calibri"/>
            <family val="2"/>
          </rPr>
          <t>de exploitatiekosten</t>
        </r>
      </text>
    </comment>
  </commentList>
</comments>
</file>

<file path=xl/sharedStrings.xml><?xml version="1.0" encoding="utf-8"?>
<sst xmlns="http://schemas.openxmlformats.org/spreadsheetml/2006/main" count="217" uniqueCount="168">
  <si>
    <t>roodkavel</t>
  </si>
  <si>
    <t>verharding/infra</t>
  </si>
  <si>
    <t>groen - natuur</t>
  </si>
  <si>
    <t>groen - verspreid</t>
  </si>
  <si>
    <t>water</t>
  </si>
  <si>
    <t>stads landbouw</t>
  </si>
  <si>
    <t>standaard</t>
  </si>
  <si>
    <t>landbouw</t>
  </si>
  <si>
    <t>landschap</t>
  </si>
  <si>
    <t>TOTAAL</t>
  </si>
  <si>
    <t>TOTAAL IN meters2</t>
  </si>
  <si>
    <t>SAMENSTELLING KAVEL</t>
  </si>
  <si>
    <t>FAR</t>
  </si>
  <si>
    <t>wonen rood (bvo)</t>
  </si>
  <si>
    <t>AANKOOP RUWE GROND</t>
  </si>
  <si>
    <t>meters2</t>
  </si>
  <si>
    <t>VERWERVINGSPRIJS</t>
  </si>
  <si>
    <t>VERWERVING+EXPL.KSTN</t>
  </si>
  <si>
    <t>TOTALE PRIJS / M2 rood kavel</t>
  </si>
  <si>
    <t>TOTALE PRIJS / M2 totaal</t>
  </si>
  <si>
    <t>totaal</t>
  </si>
  <si>
    <t>€</t>
  </si>
  <si>
    <t>Exploitatiekosten</t>
  </si>
  <si>
    <t>BEREKENING KOSTPRIJS GROND</t>
  </si>
  <si>
    <t>SAMENVATTING KOSTEN AANSCHAF GROND ZOALS HIERONDER BEREKEND</t>
  </si>
  <si>
    <t>bedragen zijn excl. BTW en overdrachtsbelasting.</t>
  </si>
  <si>
    <t>b</t>
  </si>
  <si>
    <t>soort</t>
  </si>
  <si>
    <t>prijs grond</t>
  </si>
  <si>
    <t>exp. Kstn</t>
  </si>
  <si>
    <r>
      <t>prijzen in € / m</t>
    </r>
    <r>
      <rPr>
        <vertAlign val="superscript"/>
        <sz val="11"/>
        <color theme="1"/>
        <rFont val="Calibri"/>
        <family val="2"/>
        <scheme val="minor"/>
      </rPr>
      <t>2</t>
    </r>
  </si>
  <si>
    <t>gecontroleerd 15 dec 2016</t>
  </si>
  <si>
    <t>roodkavel (maximaal)</t>
  </si>
  <si>
    <t>verharding/infra (maximaal)</t>
  </si>
  <si>
    <t>groen - natuur (minimaal)</t>
  </si>
  <si>
    <t>groen - verspreid (minimaal)</t>
  </si>
  <si>
    <t>water (minimaal)</t>
  </si>
  <si>
    <t>stads landbouw (minimaal)</t>
  </si>
  <si>
    <t>Ten behoeve van een effectieve samenstelling van de kavel gelden de volgende regels:</t>
  </si>
  <si>
    <t>percentage 'Groen - verspreid' en 'Water' niet minder mag bedragen dan 9,0% bij</t>
  </si>
  <si>
    <t>standaardkavels, 3,0 % bij landbouwkavels en 3,8% bij landschapskavels;</t>
  </si>
  <si>
    <t>waarbij het gezamenlijk percentage 'Roodkavel' en 'Verharding / infra' maximaal 36% mag</t>
  </si>
  <si>
    <t>bedragen en waarbij binnen dat gezamenlijk percentage het 'Roodkavel' niet meer mag bedragen</t>
  </si>
  <si>
    <t>dan 25%;</t>
  </si>
  <si>
    <t>waarbij het gezamenlijk percentage 'Roodkavel' en 'Verharding / infra' maximaal 12% mag</t>
  </si>
  <si>
    <t>dan 7%;</t>
  </si>
  <si>
    <t>waarbij het gezamenlijk percentage 'Roodkavel' en 'Verharding / infra' maximaal 11% mag</t>
  </si>
  <si>
    <t>bedragen waarbij binnen dat gezamenlijk percentage het 'Roodkavel' niet meer mag bedragen</t>
  </si>
  <si>
    <t>dan 6%.</t>
  </si>
  <si>
    <t>Het bevoegd gezag kan afwijken van het bepaalde in artkel 13.6 en 13.6.1 b. c. en d. voor een hoger</t>
  </si>
  <si>
    <t>percentage verharding / infra, met dien verstande dat:</t>
  </si>
  <si>
    <t>a. de noodzaak daartoe voort komt uit artikel 13.7 onder d. in het geval er aan 2 of meer kanten van</t>
  </si>
  <si>
    <t>het kavel ontsluiting noodzakelijk is van aansluitende kavels;</t>
  </si>
  <si>
    <t>b. de in artikel 13.6 genoemde minimale percentages in stand worden gehouden.</t>
  </si>
  <si>
    <t>Gezamenlijke percentages</t>
  </si>
  <si>
    <t>a</t>
  </si>
  <si>
    <t>c</t>
  </si>
  <si>
    <t>d</t>
  </si>
  <si>
    <t>Afwijken maximaal percentage verharding / infra (verwijzingen naar het CHW bestemmingsplan)</t>
  </si>
  <si>
    <t>bij standaardkavels mag het percentage 'Roodkavel' worden gerealiseerd als 'Verharding / infra',</t>
  </si>
  <si>
    <t>bij landbouwkavels mag het percentage 'Roodkavel' worden gerealiseerd als 'Verharding / infra',</t>
  </si>
  <si>
    <t>bij landschapskavels mag het percentage 'Roodkavel' worden gerealiseerd als 'Verharding / infra'</t>
  </si>
  <si>
    <r>
      <t>het percentage '</t>
    </r>
    <r>
      <rPr>
        <b/>
        <sz val="11"/>
        <color theme="1"/>
        <rFont val="Calibri"/>
        <family val="2"/>
        <scheme val="minor"/>
      </rPr>
      <t>Groen - verspreid' mag worden gerealiseerd als 'Water'</t>
    </r>
    <r>
      <rPr>
        <sz val="11"/>
        <color theme="1"/>
        <rFont val="Calibri"/>
        <family val="2"/>
        <scheme val="minor"/>
      </rPr>
      <t>, waarbij het gezamenlijk</t>
    </r>
  </si>
  <si>
    <t>agrarisch rood (bvo)  (2/3e deel van BVO)</t>
  </si>
  <si>
    <t>speling voor groen/water/stadslandb):</t>
  </si>
  <si>
    <t>Totaal volgens minimale percentages:</t>
  </si>
  <si>
    <t>Let op:</t>
  </si>
  <si>
    <t>deze spreadsheet biedt ook de mogelijkheid om landbouw en landschap kavel te kopen.</t>
  </si>
  <si>
    <t>Maar de gemeente verkoopt thans enkel nog standaard kavels.</t>
  </si>
  <si>
    <t>de betreffende kolommen D t/m G heb ik verborgen om verwarring te voorkomen.</t>
  </si>
  <si>
    <t>m2 :</t>
  </si>
  <si>
    <t>% :</t>
  </si>
  <si>
    <t>€ :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</si>
  <si>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</si>
  <si>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INPUT:            OPPERVLAK KAVEL in m2  ---------------------------&gt;</t>
  </si>
  <si>
    <t>OUTPUT:           KOSTPRIJS KAVEL IN OOSTERWOLD -----------&gt;</t>
  </si>
  <si>
    <t>http://maakoosterwold.nl/wat-kost-een-kavel/</t>
  </si>
  <si>
    <t>Bron: http://maakoosterwold.nl/wat-kost-een-kavel/</t>
  </si>
  <si>
    <t>prijs/m2 (grondprijs 2018)</t>
  </si>
  <si>
    <t>Exploitatiebijdrage kavel</t>
  </si>
  <si>
    <t>EXPLOITATIEKOSTEN / m2</t>
  </si>
  <si>
    <t>Wij begrepen dat geen BTW over de exploitatiekosten verschuldigd is</t>
  </si>
  <si>
    <t xml:space="preserve">en dat geen 6% overdrachtsbelasting verschulidgid is </t>
  </si>
  <si>
    <t>totale verwervingsprijs grond</t>
  </si>
  <si>
    <t>Hypotheek</t>
  </si>
  <si>
    <t>Initieel</t>
  </si>
  <si>
    <t>Heden</t>
  </si>
  <si>
    <t>Stichtingskosten</t>
  </si>
  <si>
    <t>1e termijn 10% kostenverhaal na AO</t>
  </si>
  <si>
    <t>2e termijn 10% kostenverhaal na vergunning</t>
  </si>
  <si>
    <t>3e termijn 80% kostenverhaal bij overdracht</t>
  </si>
  <si>
    <t>Koopsom grond</t>
  </si>
  <si>
    <t>6% overdrachtsbelasting</t>
  </si>
  <si>
    <t>Bouwrijp maken Rooderf</t>
  </si>
  <si>
    <t>1 . 30% te declareren na het gereedkomen van de ruwe begane grondvloer</t>
  </si>
  <si>
    <t>2. 10% te declareren na het gereedkomen van de ruwbouw gevels</t>
  </si>
  <si>
    <t>3. 25% te declareren na het waterdicht maken van het dak van de woning</t>
  </si>
  <si>
    <t>4. 10% te declareren na het gereedkomen van de binnenwanden</t>
  </si>
  <si>
    <t>5. 15% te declareren na het gereedkomen van het stuc-, spuit- en tegelwerk</t>
  </si>
  <si>
    <t>6. 10% te declareren bij oplevering van de woning, te voldoen voor oplevering van de woning</t>
  </si>
  <si>
    <t>Woningborg</t>
  </si>
  <si>
    <t>Transport en plaatsing</t>
  </si>
  <si>
    <t>Afwerking binnen</t>
  </si>
  <si>
    <t>Isolatie Vloeren</t>
  </si>
  <si>
    <t>Isolatie Wanden</t>
  </si>
  <si>
    <t>Isolatie Dak</t>
  </si>
  <si>
    <t>Fundering / Hijkosten</t>
  </si>
  <si>
    <t>Badkamer</t>
  </si>
  <si>
    <t>Ramen (HR+++ meerprijs)</t>
  </si>
  <si>
    <t>Deuren</t>
  </si>
  <si>
    <t>E- installatie (max. 40 euro per m2)</t>
  </si>
  <si>
    <t>Verwarming</t>
  </si>
  <si>
    <t>Aansluitkosten (Nutsvoorzieningen)</t>
  </si>
  <si>
    <t>Zonnepanelen</t>
  </si>
  <si>
    <t>Heetwater boiler</t>
  </si>
  <si>
    <t>Schuur</t>
  </si>
  <si>
    <t>Isolatie dak</t>
  </si>
  <si>
    <t>Isolatie vloer</t>
  </si>
  <si>
    <t>Fundering Schuur</t>
  </si>
  <si>
    <t>Montage schuur</t>
  </si>
  <si>
    <t>Montage isolatiepakketten</t>
  </si>
  <si>
    <t>Hemelwaterafvoer Schuur</t>
  </si>
  <si>
    <t>Impregneer</t>
  </si>
  <si>
    <t>Kas</t>
  </si>
  <si>
    <t>Zelfvoorzienend</t>
  </si>
  <si>
    <t>Riool - Helofyd installatie</t>
  </si>
  <si>
    <t>Hemelwater opvang</t>
  </si>
  <si>
    <t>Keuken</t>
  </si>
  <si>
    <t>Wegen en paden</t>
  </si>
  <si>
    <t>Factuur tekening Nutsvoorzieningen Tracé</t>
  </si>
  <si>
    <t>Grond  en notaris weg overzijde</t>
  </si>
  <si>
    <t>Aanleg bouwweg</t>
  </si>
  <si>
    <t>Aanleg Parkeerplaatsen</t>
  </si>
  <si>
    <t>Aanleg Ontsluitingsweg</t>
  </si>
  <si>
    <t>later</t>
  </si>
  <si>
    <t>NVT</t>
  </si>
  <si>
    <t>Onderzoek en vergunningen</t>
  </si>
  <si>
    <t>Archeologisch onderzoek</t>
  </si>
  <si>
    <t>Ecologisch onderzoek</t>
  </si>
  <si>
    <t>Bouwvergunning leges 3,20%</t>
  </si>
  <si>
    <t>Leges vergunning waterschap</t>
  </si>
  <si>
    <t>Sonderingsonderzoek</t>
  </si>
  <si>
    <t>Funderingsadvies</t>
  </si>
  <si>
    <t>overige kosten</t>
  </si>
  <si>
    <t>Ontwerpkosten (Architect)</t>
  </si>
  <si>
    <t xml:space="preserve">Notaris Hypotheek kadaster etc. </t>
  </si>
  <si>
    <t>Verhuiskosten</t>
  </si>
  <si>
    <t>Totale kosten</t>
  </si>
  <si>
    <t>Raming 15-10-2018</t>
  </si>
  <si>
    <t>Grohe RED</t>
  </si>
  <si>
    <t>Audiologisch onderzoek  &lt;45dB</t>
  </si>
  <si>
    <t>aanvullend Audiologisch onderzoek  &lt;52dB</t>
  </si>
  <si>
    <t>Taxatierapport  voor hypotheek</t>
  </si>
  <si>
    <t>Kosten nieuwe hypotheek</t>
  </si>
  <si>
    <t>Overwaarde huidige woonhuis</t>
  </si>
  <si>
    <t>Benodigde hypotheek</t>
  </si>
  <si>
    <t>Hypotheek welke nodig is om onderstaande te realiseren.</t>
  </si>
  <si>
    <t>Ja/Nee</t>
  </si>
  <si>
    <t>Ja</t>
  </si>
  <si>
    <t>Nee</t>
  </si>
  <si>
    <t>Totaal overbruggingskrediet</t>
  </si>
  <si>
    <t>Overbruggingkosten Huur huidige woning en hypotheek</t>
  </si>
  <si>
    <t xml:space="preserve">Eigen inbreng </t>
  </si>
  <si>
    <t>Kosten grond</t>
  </si>
  <si>
    <t>Kosten huis</t>
  </si>
  <si>
    <t>Kosten schuur</t>
  </si>
  <si>
    <t>Entree kosten kavelwegvereniging</t>
  </si>
  <si>
    <t>Onvoorzien &gt;10% totale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</si>
</sst>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_ &quot;€&quot;\ * #,##0_ ;_ &quot;€&quot;\ * \-#,##0_ ;_ &quot;€&quot;\ * &quot;-&quot;??_ ;_ @_ "/>
    <numFmt numFmtId="167" formatCode="_ * #,##0.0_ ;_ * \-#,##0.0_ ;_ * &quot;-&quot;??_ ;_ @_ "/>
    <numFmt numFmtId="168" formatCode="_-* #,##0.0_-;_-* #,##0.0\-;_-* &quot;-&quot;?_-;_-@_-"/>
    <numFmt numFmtId="169" formatCode="0.000%"/>
    <numFmt numFmtId="170" formatCode="0.0000%"/>
    <numFmt numFmtId="171" formatCode="_([$€-2]\ * #,##0.00_);_([$€-2]\ * \(#,##0.00\);_([$€-2]\ * &quot;-&quot;??_);_(@_)"/>
    <numFmt numFmtId="172" formatCode="_ [$€-2]\ * #,##0.00_ ;_ [$€-2]\ * \-#,##0.00_ ;_ [$€-2]\ * &quot;-&quot;??_ ;_ @_ "/>
    <numFmt numFmtId="173" formatCode="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660066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7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2" fillId="0" borderId="5" xfId="0" applyFont="1" applyBorder="1"/>
    <xf numFmtId="0" fontId="2" fillId="0" borderId="8" xfId="0" applyFont="1" applyBorder="1"/>
    <xf numFmtId="0" fontId="0" fillId="0" borderId="17" xfId="0" applyBorder="1"/>
    <xf numFmtId="0" fontId="0" fillId="0" borderId="8" xfId="0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9" fontId="0" fillId="0" borderId="15" xfId="3" applyFont="1" applyBorder="1" applyAlignment="1">
      <alignment horizontal="right"/>
    </xf>
    <xf numFmtId="9" fontId="0" fillId="0" borderId="5" xfId="3" applyFont="1" applyBorder="1" applyAlignment="1">
      <alignment horizontal="right"/>
    </xf>
    <xf numFmtId="164" fontId="0" fillId="0" borderId="15" xfId="3" applyNumberFormat="1" applyFont="1" applyBorder="1" applyAlignment="1">
      <alignment horizontal="right"/>
    </xf>
    <xf numFmtId="164" fontId="0" fillId="0" borderId="5" xfId="3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2" fillId="0" borderId="14" xfId="1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66" fontId="2" fillId="0" borderId="10" xfId="2" applyNumberFormat="1" applyFont="1" applyBorder="1" applyAlignment="1">
      <alignment horizontal="right"/>
    </xf>
    <xf numFmtId="166" fontId="2" fillId="0" borderId="8" xfId="2" applyNumberFormat="1" applyFont="1" applyBorder="1" applyAlignment="1">
      <alignment horizontal="right"/>
    </xf>
    <xf numFmtId="166" fontId="0" fillId="0" borderId="18" xfId="2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6" fontId="0" fillId="0" borderId="20" xfId="2" applyNumberFormat="1" applyFont="1" applyBorder="1" applyAlignment="1">
      <alignment horizontal="right"/>
    </xf>
    <xf numFmtId="166" fontId="0" fillId="0" borderId="21" xfId="2" applyNumberFormat="1" applyFont="1" applyBorder="1" applyAlignment="1">
      <alignment horizontal="right"/>
    </xf>
    <xf numFmtId="166" fontId="0" fillId="0" borderId="10" xfId="2" applyNumberFormat="1" applyFont="1" applyBorder="1" applyAlignment="1">
      <alignment horizontal="right"/>
    </xf>
    <xf numFmtId="166" fontId="0" fillId="0" borderId="8" xfId="2" applyNumberFormat="1" applyFont="1" applyBorder="1" applyAlignment="1">
      <alignment horizontal="right"/>
    </xf>
    <xf numFmtId="44" fontId="0" fillId="0" borderId="7" xfId="2" applyFont="1" applyBorder="1" applyAlignment="1">
      <alignment horizontal="right"/>
    </xf>
    <xf numFmtId="44" fontId="0" fillId="0" borderId="17" xfId="2" applyFont="1" applyBorder="1" applyAlignment="1">
      <alignment horizontal="right"/>
    </xf>
    <xf numFmtId="166" fontId="0" fillId="0" borderId="1" xfId="2" applyNumberFormat="1" applyFont="1" applyFill="1" applyBorder="1" applyAlignment="1">
      <alignment horizontal="right"/>
    </xf>
    <xf numFmtId="165" fontId="0" fillId="0" borderId="12" xfId="1" applyNumberFormat="1" applyFont="1" applyFill="1" applyBorder="1" applyAlignment="1">
      <alignment horizontal="right"/>
    </xf>
    <xf numFmtId="44" fontId="0" fillId="0" borderId="0" xfId="2" applyFont="1"/>
    <xf numFmtId="166" fontId="0" fillId="0" borderId="3" xfId="2" applyNumberFormat="1" applyFont="1" applyBorder="1" applyAlignment="1">
      <alignment horizontal="right"/>
    </xf>
    <xf numFmtId="166" fontId="0" fillId="0" borderId="4" xfId="2" applyNumberFormat="1" applyFont="1" applyBorder="1" applyAlignment="1">
      <alignment horizontal="right"/>
    </xf>
    <xf numFmtId="166" fontId="0" fillId="0" borderId="9" xfId="2" applyNumberFormat="1" applyFont="1" applyBorder="1" applyAlignment="1">
      <alignment horizontal="right"/>
    </xf>
    <xf numFmtId="0" fontId="2" fillId="0" borderId="21" xfId="0" applyFont="1" applyBorder="1"/>
    <xf numFmtId="166" fontId="0" fillId="0" borderId="0" xfId="0" applyNumberFormat="1" applyAlignment="1">
      <alignment horizontal="right"/>
    </xf>
    <xf numFmtId="0" fontId="0" fillId="0" borderId="0" xfId="0" applyFill="1" applyBorder="1"/>
    <xf numFmtId="0" fontId="0" fillId="5" borderId="5" xfId="0" applyFill="1" applyBorder="1"/>
    <xf numFmtId="166" fontId="0" fillId="6" borderId="5" xfId="2" applyNumberFormat="1" applyFont="1" applyFill="1" applyBorder="1" applyAlignment="1">
      <alignment horizontal="right"/>
    </xf>
    <xf numFmtId="166" fontId="0" fillId="2" borderId="6" xfId="2" applyNumberFormat="1" applyFont="1" applyFill="1" applyBorder="1" applyAlignment="1">
      <alignment horizontal="right"/>
    </xf>
    <xf numFmtId="165" fontId="0" fillId="5" borderId="15" xfId="1" applyNumberFormat="1" applyFont="1" applyFill="1" applyBorder="1" applyAlignment="1">
      <alignment horizontal="right"/>
    </xf>
    <xf numFmtId="165" fontId="0" fillId="5" borderId="5" xfId="1" applyNumberFormat="1" applyFont="1" applyFill="1" applyBorder="1" applyAlignment="1">
      <alignment horizontal="right"/>
    </xf>
    <xf numFmtId="0" fontId="0" fillId="3" borderId="5" xfId="0" applyFill="1" applyBorder="1"/>
    <xf numFmtId="9" fontId="0" fillId="3" borderId="15" xfId="3" applyFont="1" applyFill="1" applyBorder="1" applyAlignment="1">
      <alignment horizontal="right"/>
    </xf>
    <xf numFmtId="9" fontId="0" fillId="3" borderId="5" xfId="3" applyFont="1" applyFill="1" applyBorder="1" applyAlignment="1">
      <alignment horizontal="right"/>
    </xf>
    <xf numFmtId="0" fontId="0" fillId="7" borderId="8" xfId="0" applyFill="1" applyBorder="1"/>
    <xf numFmtId="9" fontId="0" fillId="7" borderId="14" xfId="3" applyFont="1" applyFill="1" applyBorder="1" applyAlignment="1">
      <alignment horizontal="right"/>
    </xf>
    <xf numFmtId="9" fontId="0" fillId="7" borderId="8" xfId="3" applyFont="1" applyFill="1" applyBorder="1" applyAlignment="1">
      <alignment horizontal="right"/>
    </xf>
    <xf numFmtId="0" fontId="0" fillId="7" borderId="17" xfId="0" applyFill="1" applyBorder="1"/>
    <xf numFmtId="165" fontId="0" fillId="7" borderId="19" xfId="1" applyNumberFormat="1" applyFont="1" applyFill="1" applyBorder="1" applyAlignment="1">
      <alignment horizontal="right"/>
    </xf>
    <xf numFmtId="165" fontId="0" fillId="7" borderId="17" xfId="1" applyNumberFormat="1" applyFont="1" applyFill="1" applyBorder="1" applyAlignment="1">
      <alignment horizontal="right"/>
    </xf>
    <xf numFmtId="0" fontId="3" fillId="4" borderId="2" xfId="0" applyFont="1" applyFill="1" applyBorder="1"/>
    <xf numFmtId="0" fontId="4" fillId="4" borderId="4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165" fontId="0" fillId="0" borderId="15" xfId="1" applyNumberFormat="1" applyFont="1" applyFill="1" applyBorder="1" applyAlignment="1">
      <alignment horizontal="right"/>
    </xf>
    <xf numFmtId="166" fontId="0" fillId="0" borderId="2" xfId="2" applyNumberFormat="1" applyFont="1" applyBorder="1" applyAlignment="1">
      <alignment horizontal="right"/>
    </xf>
    <xf numFmtId="165" fontId="0" fillId="3" borderId="11" xfId="1" applyNumberFormat="1" applyFont="1" applyFill="1" applyBorder="1" applyAlignment="1">
      <alignment horizontal="right"/>
    </xf>
    <xf numFmtId="165" fontId="0" fillId="3" borderId="2" xfId="1" applyNumberFormat="1" applyFont="1" applyFill="1" applyBorder="1" applyAlignment="1">
      <alignment horizontal="right"/>
    </xf>
    <xf numFmtId="165" fontId="6" fillId="3" borderId="22" xfId="1" applyNumberFormat="1" applyFont="1" applyFill="1" applyBorder="1" applyAlignment="1">
      <alignment horizontal="right"/>
    </xf>
    <xf numFmtId="165" fontId="10" fillId="3" borderId="13" xfId="1" applyNumberFormat="1" applyFont="1" applyFill="1" applyBorder="1" applyAlignment="1">
      <alignment horizontal="right"/>
    </xf>
    <xf numFmtId="165" fontId="0" fillId="3" borderId="8" xfId="1" applyNumberFormat="1" applyFont="1" applyFill="1" applyBorder="1" applyAlignment="1">
      <alignment horizontal="right"/>
    </xf>
    <xf numFmtId="165" fontId="6" fillId="3" borderId="14" xfId="1" applyNumberFormat="1" applyFont="1" applyFill="1" applyBorder="1" applyAlignment="1">
      <alignment horizontal="right"/>
    </xf>
    <xf numFmtId="0" fontId="0" fillId="8" borderId="5" xfId="0" applyFill="1" applyBorder="1"/>
    <xf numFmtId="165" fontId="0" fillId="8" borderId="15" xfId="1" applyNumberFormat="1" applyFont="1" applyFill="1" applyBorder="1" applyAlignment="1">
      <alignment horizontal="right"/>
    </xf>
    <xf numFmtId="165" fontId="0" fillId="8" borderId="5" xfId="1" applyNumberFormat="1" applyFont="1" applyFill="1" applyBorder="1" applyAlignment="1">
      <alignment horizontal="right"/>
    </xf>
    <xf numFmtId="164" fontId="0" fillId="5" borderId="15" xfId="3" applyNumberFormat="1" applyFont="1" applyFill="1" applyBorder="1" applyAlignment="1">
      <alignment horizontal="right"/>
    </xf>
    <xf numFmtId="164" fontId="0" fillId="5" borderId="5" xfId="3" applyNumberFormat="1" applyFont="1" applyFill="1" applyBorder="1" applyAlignment="1">
      <alignment horizontal="right"/>
    </xf>
    <xf numFmtId="164" fontId="0" fillId="3" borderId="15" xfId="3" applyNumberFormat="1" applyFont="1" applyFill="1" applyBorder="1" applyAlignment="1">
      <alignment horizontal="right"/>
    </xf>
    <xf numFmtId="164" fontId="0" fillId="3" borderId="5" xfId="3" applyNumberFormat="1" applyFont="1" applyFill="1" applyBorder="1" applyAlignment="1">
      <alignment horizontal="right"/>
    </xf>
    <xf numFmtId="164" fontId="0" fillId="8" borderId="15" xfId="3" applyNumberFormat="1" applyFont="1" applyFill="1" applyBorder="1" applyAlignment="1">
      <alignment horizontal="right"/>
    </xf>
    <xf numFmtId="164" fontId="0" fillId="8" borderId="5" xfId="3" applyNumberFormat="1" applyFont="1" applyFill="1" applyBorder="1" applyAlignment="1">
      <alignment horizontal="right"/>
    </xf>
    <xf numFmtId="0" fontId="0" fillId="8" borderId="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166" fontId="0" fillId="0" borderId="0" xfId="2" applyNumberFormat="1" applyFont="1" applyBorder="1" applyAlignment="1">
      <alignment horizontal="right"/>
    </xf>
    <xf numFmtId="166" fontId="0" fillId="0" borderId="0" xfId="2" applyNumberFormat="1" applyFont="1" applyBorder="1" applyAlignment="1"/>
    <xf numFmtId="0" fontId="0" fillId="0" borderId="13" xfId="0" applyBorder="1" applyAlignment="1">
      <alignment horizontal="right"/>
    </xf>
    <xf numFmtId="44" fontId="0" fillId="0" borderId="0" xfId="2" applyFont="1" applyFill="1" applyBorder="1"/>
    <xf numFmtId="166" fontId="0" fillId="0" borderId="11" xfId="0" applyNumberFormat="1" applyBorder="1" applyAlignment="1">
      <alignment horizontal="left"/>
    </xf>
    <xf numFmtId="0" fontId="0" fillId="0" borderId="0" xfId="0" applyFont="1" applyFill="1" applyBorder="1"/>
    <xf numFmtId="165" fontId="1" fillId="0" borderId="0" xfId="1" applyNumberFormat="1" applyFont="1" applyFill="1" applyBorder="1" applyAlignment="1">
      <alignment horizontal="center"/>
    </xf>
    <xf numFmtId="0" fontId="1" fillId="0" borderId="0" xfId="3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0" fontId="0" fillId="0" borderId="5" xfId="0" applyFont="1" applyFill="1" applyBorder="1"/>
    <xf numFmtId="166" fontId="0" fillId="0" borderId="6" xfId="0" applyNumberFormat="1" applyFont="1" applyFill="1" applyBorder="1" applyAlignment="1">
      <alignment horizontal="right"/>
    </xf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5" fontId="0" fillId="0" borderId="0" xfId="0" applyNumberFormat="1"/>
    <xf numFmtId="168" fontId="0" fillId="0" borderId="0" xfId="0" applyNumberFormat="1"/>
    <xf numFmtId="9" fontId="0" fillId="0" borderId="0" xfId="3" applyFont="1"/>
    <xf numFmtId="0" fontId="2" fillId="0" borderId="0" xfId="0" applyFont="1"/>
    <xf numFmtId="0" fontId="0" fillId="9" borderId="31" xfId="0" applyFill="1" applyBorder="1"/>
    <xf numFmtId="0" fontId="0" fillId="9" borderId="7" xfId="0" applyFill="1" applyBorder="1"/>
    <xf numFmtId="0" fontId="0" fillId="9" borderId="32" xfId="0" applyFill="1" applyBorder="1"/>
    <xf numFmtId="0" fontId="0" fillId="9" borderId="33" xfId="0" applyFill="1" applyBorder="1"/>
    <xf numFmtId="0" fontId="0" fillId="9" borderId="16" xfId="0" applyFill="1" applyBorder="1"/>
    <xf numFmtId="0" fontId="0" fillId="9" borderId="34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27" xfId="0" applyBorder="1"/>
    <xf numFmtId="164" fontId="0" fillId="0" borderId="0" xfId="0" applyNumberFormat="1" applyAlignment="1">
      <alignment horizontal="right"/>
    </xf>
    <xf numFmtId="0" fontId="0" fillId="9" borderId="0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0" borderId="5" xfId="0" applyFill="1" applyBorder="1"/>
    <xf numFmtId="9" fontId="0" fillId="10" borderId="15" xfId="3" applyFont="1" applyFill="1" applyBorder="1" applyAlignment="1">
      <alignment horizontal="right"/>
    </xf>
    <xf numFmtId="9" fontId="0" fillId="10" borderId="5" xfId="3" applyFont="1" applyFill="1" applyBorder="1" applyAlignment="1">
      <alignment horizontal="right"/>
    </xf>
    <xf numFmtId="164" fontId="0" fillId="10" borderId="15" xfId="3" applyNumberFormat="1" applyFont="1" applyFill="1" applyBorder="1" applyAlignment="1">
      <alignment horizontal="right"/>
    </xf>
    <xf numFmtId="164" fontId="0" fillId="10" borderId="5" xfId="3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/>
    <xf numFmtId="164" fontId="14" fillId="2" borderId="22" xfId="3" applyNumberFormat="1" applyFont="1" applyFill="1" applyBorder="1" applyAlignment="1">
      <alignment horizontal="right"/>
    </xf>
    <xf numFmtId="164" fontId="14" fillId="2" borderId="2" xfId="3" applyNumberFormat="1" applyFont="1" applyFill="1" applyBorder="1" applyAlignment="1">
      <alignment horizontal="right"/>
    </xf>
    <xf numFmtId="169" fontId="14" fillId="2" borderId="22" xfId="3" applyNumberFormat="1" applyFont="1" applyFill="1" applyBorder="1" applyAlignment="1">
      <alignment horizontal="right"/>
    </xf>
    <xf numFmtId="0" fontId="14" fillId="6" borderId="8" xfId="0" applyFont="1" applyFill="1" applyBorder="1" applyAlignment="1">
      <alignment horizontal="left"/>
    </xf>
    <xf numFmtId="0" fontId="14" fillId="6" borderId="8" xfId="0" applyFont="1" applyFill="1" applyBorder="1"/>
    <xf numFmtId="9" fontId="14" fillId="6" borderId="14" xfId="3" applyFont="1" applyFill="1" applyBorder="1" applyAlignment="1">
      <alignment horizontal="right"/>
    </xf>
    <xf numFmtId="169" fontId="14" fillId="6" borderId="14" xfId="3" applyNumberFormat="1" applyFont="1" applyFill="1" applyBorder="1" applyAlignment="1">
      <alignment horizontal="right"/>
    </xf>
    <xf numFmtId="164" fontId="14" fillId="6" borderId="8" xfId="3" applyNumberFormat="1" applyFont="1" applyFill="1" applyBorder="1" applyAlignment="1">
      <alignment horizontal="right"/>
    </xf>
    <xf numFmtId="167" fontId="14" fillId="2" borderId="22" xfId="1" applyNumberFormat="1" applyFont="1" applyFill="1" applyBorder="1" applyAlignment="1">
      <alignment horizontal="right"/>
    </xf>
    <xf numFmtId="167" fontId="14" fillId="2" borderId="2" xfId="1" applyNumberFormat="1" applyFont="1" applyFill="1" applyBorder="1" applyAlignment="1">
      <alignment horizontal="right"/>
    </xf>
    <xf numFmtId="165" fontId="14" fillId="6" borderId="14" xfId="1" applyNumberFormat="1" applyFont="1" applyFill="1" applyBorder="1" applyAlignment="1">
      <alignment horizontal="right"/>
    </xf>
    <xf numFmtId="165" fontId="14" fillId="6" borderId="8" xfId="1" applyNumberFormat="1" applyFont="1" applyFill="1" applyBorder="1" applyAlignment="1">
      <alignment horizontal="right"/>
    </xf>
    <xf numFmtId="169" fontId="14" fillId="6" borderId="40" xfId="3" applyNumberFormat="1" applyFont="1" applyFill="1" applyBorder="1" applyAlignment="1">
      <alignment horizontal="right"/>
    </xf>
    <xf numFmtId="0" fontId="0" fillId="0" borderId="23" xfId="0" applyBorder="1"/>
    <xf numFmtId="0" fontId="0" fillId="0" borderId="24" xfId="0" applyBorder="1"/>
    <xf numFmtId="164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5" fontId="0" fillId="0" borderId="23" xfId="0" applyNumberFormat="1" applyBorder="1"/>
    <xf numFmtId="165" fontId="0" fillId="0" borderId="24" xfId="0" applyNumberFormat="1" applyBorder="1" applyAlignment="1">
      <alignment horizontal="right"/>
    </xf>
    <xf numFmtId="0" fontId="2" fillId="0" borderId="24" xfId="1" applyNumberFormat="1" applyFont="1" applyFill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2" fillId="0" borderId="29" xfId="1" applyNumberFormat="1" applyFont="1" applyFill="1" applyBorder="1" applyAlignment="1">
      <alignment horizontal="right"/>
    </xf>
    <xf numFmtId="0" fontId="0" fillId="0" borderId="39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0" xfId="0" applyFill="1"/>
    <xf numFmtId="0" fontId="0" fillId="11" borderId="0" xfId="0" applyFill="1" applyBorder="1"/>
    <xf numFmtId="0" fontId="0" fillId="11" borderId="0" xfId="0" applyFill="1"/>
    <xf numFmtId="165" fontId="0" fillId="11" borderId="0" xfId="0" applyNumberFormat="1" applyFill="1"/>
    <xf numFmtId="0" fontId="4" fillId="4" borderId="2" xfId="0" applyFont="1" applyFill="1" applyBorder="1" applyAlignment="1">
      <alignment horizontal="center"/>
    </xf>
    <xf numFmtId="167" fontId="14" fillId="2" borderId="3" xfId="1" applyNumberFormat="1" applyFont="1" applyFill="1" applyBorder="1" applyAlignment="1">
      <alignment horizontal="right"/>
    </xf>
    <xf numFmtId="165" fontId="14" fillId="6" borderId="42" xfId="1" applyNumberFormat="1" applyFont="1" applyFill="1" applyBorder="1" applyAlignment="1">
      <alignment horizontal="right"/>
    </xf>
    <xf numFmtId="165" fontId="2" fillId="0" borderId="45" xfId="1" applyNumberFormat="1" applyFont="1" applyFill="1" applyBorder="1" applyAlignment="1">
      <alignment horizontal="center"/>
    </xf>
    <xf numFmtId="170" fontId="2" fillId="0" borderId="46" xfId="3" applyNumberFormat="1" applyFont="1" applyFill="1" applyBorder="1" applyAlignment="1">
      <alignment horizontal="center"/>
    </xf>
    <xf numFmtId="0" fontId="0" fillId="0" borderId="25" xfId="0" applyNumberFormat="1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3" fillId="4" borderId="23" xfId="0" applyFont="1" applyFill="1" applyBorder="1"/>
    <xf numFmtId="0" fontId="0" fillId="0" borderId="26" xfId="0" applyFont="1" applyFill="1" applyBorder="1" applyAlignment="1">
      <alignment horizontal="left"/>
    </xf>
    <xf numFmtId="0" fontId="0" fillId="0" borderId="27" xfId="0" applyBorder="1" applyAlignment="1">
      <alignment horizontal="right"/>
    </xf>
    <xf numFmtId="166" fontId="2" fillId="12" borderId="28" xfId="0" applyNumberFormat="1" applyFont="1" applyFill="1" applyBorder="1"/>
    <xf numFmtId="0" fontId="0" fillId="12" borderId="29" xfId="0" applyFill="1" applyBorder="1"/>
    <xf numFmtId="3" fontId="3" fillId="12" borderId="29" xfId="1" applyNumberFormat="1" applyFont="1" applyFill="1" applyBorder="1" applyAlignment="1"/>
    <xf numFmtId="3" fontId="2" fillId="12" borderId="30" xfId="1" applyNumberFormat="1" applyFont="1" applyFill="1" applyBorder="1" applyAlignment="1"/>
    <xf numFmtId="0" fontId="2" fillId="12" borderId="8" xfId="0" applyFont="1" applyFill="1" applyBorder="1"/>
    <xf numFmtId="0" fontId="0" fillId="12" borderId="9" xfId="0" applyFont="1" applyFill="1" applyBorder="1"/>
    <xf numFmtId="0" fontId="0" fillId="12" borderId="9" xfId="0" applyFont="1" applyFill="1" applyBorder="1" applyAlignment="1">
      <alignment horizontal="right"/>
    </xf>
    <xf numFmtId="166" fontId="5" fillId="12" borderId="10" xfId="0" applyNumberFormat="1" applyFont="1" applyFill="1" applyBorder="1" applyAlignment="1">
      <alignment horizontal="right"/>
    </xf>
    <xf numFmtId="166" fontId="8" fillId="0" borderId="12" xfId="376" applyNumberFormat="1" applyFill="1" applyBorder="1" applyAlignment="1">
      <alignment horizontal="right"/>
    </xf>
    <xf numFmtId="0" fontId="8" fillId="0" borderId="47" xfId="376" applyBorder="1"/>
    <xf numFmtId="0" fontId="0" fillId="0" borderId="0" xfId="0" applyNumberFormat="1"/>
    <xf numFmtId="2" fontId="4" fillId="4" borderId="4" xfId="0" applyNumberFormat="1" applyFont="1" applyFill="1" applyBorder="1" applyAlignment="1">
      <alignment horizontal="right"/>
    </xf>
    <xf numFmtId="44" fontId="0" fillId="0" borderId="4" xfId="2" applyNumberFormat="1" applyFont="1" applyBorder="1" applyAlignment="1">
      <alignment horizontal="right"/>
    </xf>
    <xf numFmtId="44" fontId="0" fillId="0" borderId="10" xfId="2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2" fontId="0" fillId="0" borderId="0" xfId="0" applyNumberFormat="1"/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171" fontId="17" fillId="14" borderId="6" xfId="0" applyNumberFormat="1" applyFont="1" applyFill="1" applyBorder="1"/>
    <xf numFmtId="0" fontId="2" fillId="14" borderId="0" xfId="0" applyFont="1" applyFill="1" applyBorder="1" applyAlignment="1">
      <alignment horizontal="left"/>
    </xf>
    <xf numFmtId="0" fontId="16" fillId="13" borderId="6" xfId="0" applyFont="1" applyFill="1" applyBorder="1"/>
    <xf numFmtId="0" fontId="1" fillId="0" borderId="0" xfId="0" applyFont="1" applyBorder="1" applyAlignment="1">
      <alignment horizontal="right"/>
    </xf>
    <xf numFmtId="171" fontId="1" fillId="13" borderId="6" xfId="0" applyNumberFormat="1" applyFont="1" applyFill="1" applyBorder="1"/>
    <xf numFmtId="0" fontId="16" fillId="0" borderId="0" xfId="0" applyFont="1" applyBorder="1" applyAlignment="1">
      <alignment horizontal="left"/>
    </xf>
    <xf numFmtId="0" fontId="1" fillId="14" borderId="6" xfId="0" applyFont="1" applyFill="1" applyBorder="1"/>
    <xf numFmtId="171" fontId="1" fillId="14" borderId="6" xfId="0" applyNumberFormat="1" applyFont="1" applyFill="1" applyBorder="1"/>
    <xf numFmtId="171" fontId="1" fillId="14" borderId="49" xfId="0" applyNumberFormat="1" applyFont="1" applyFill="1" applyBorder="1"/>
    <xf numFmtId="0" fontId="2" fillId="0" borderId="3" xfId="0" applyFont="1" applyBorder="1" applyAlignment="1">
      <alignment horizontal="right" vertical="center"/>
    </xf>
    <xf numFmtId="171" fontId="18" fillId="0" borderId="3" xfId="0" applyNumberFormat="1" applyFont="1" applyBorder="1" applyAlignment="1">
      <alignment vertical="center"/>
    </xf>
    <xf numFmtId="0" fontId="2" fillId="13" borderId="4" xfId="0" applyFont="1" applyFill="1" applyBorder="1" applyAlignment="1">
      <alignment vertical="center"/>
    </xf>
    <xf numFmtId="171" fontId="15" fillId="0" borderId="0" xfId="0" applyNumberFormat="1" applyFont="1" applyBorder="1"/>
    <xf numFmtId="0" fontId="1" fillId="13" borderId="6" xfId="0" applyFont="1" applyFill="1" applyBorder="1"/>
    <xf numFmtId="171" fontId="19" fillId="0" borderId="0" xfId="0" applyNumberFormat="1" applyFont="1" applyBorder="1"/>
    <xf numFmtId="171" fontId="15" fillId="14" borderId="0" xfId="0" applyNumberFormat="1" applyFont="1" applyFill="1" applyBorder="1"/>
    <xf numFmtId="171" fontId="1" fillId="15" borderId="6" xfId="0" applyNumberFormat="1" applyFont="1" applyFill="1" applyBorder="1"/>
    <xf numFmtId="171" fontId="1" fillId="9" borderId="6" xfId="0" applyNumberFormat="1" applyFont="1" applyFill="1" applyBorder="1"/>
    <xf numFmtId="171" fontId="1" fillId="3" borderId="6" xfId="0" applyNumberFormat="1" applyFont="1" applyFill="1" applyBorder="1"/>
    <xf numFmtId="171" fontId="1" fillId="13" borderId="10" xfId="0" applyNumberFormat="1" applyFont="1" applyFill="1" applyBorder="1"/>
    <xf numFmtId="171" fontId="2" fillId="0" borderId="3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" fillId="1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15" fillId="13" borderId="0" xfId="0" applyNumberFormat="1" applyFont="1" applyFill="1" applyBorder="1" applyProtection="1">
      <protection locked="0"/>
    </xf>
    <xf numFmtId="9" fontId="0" fillId="0" borderId="0" xfId="3" applyFont="1" applyFill="1" applyBorder="1" applyAlignment="1" applyProtection="1">
      <alignment horizontal="center"/>
      <protection locked="0"/>
    </xf>
    <xf numFmtId="9" fontId="1" fillId="0" borderId="0" xfId="3" applyFont="1" applyFill="1" applyBorder="1" applyAlignment="1" applyProtection="1">
      <alignment horizontal="center"/>
      <protection locked="0"/>
    </xf>
    <xf numFmtId="171" fontId="15" fillId="0" borderId="0" xfId="0" applyNumberFormat="1" applyFont="1" applyBorder="1" applyProtection="1">
      <protection locked="0"/>
    </xf>
    <xf numFmtId="171" fontId="15" fillId="14" borderId="0" xfId="0" applyNumberFormat="1" applyFont="1" applyFill="1" applyBorder="1" applyProtection="1">
      <protection locked="0"/>
    </xf>
    <xf numFmtId="171" fontId="1" fillId="14" borderId="0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Font="1" applyFill="1" applyBorder="1" applyAlignment="1" applyProtection="1">
      <alignment horizontal="center"/>
      <protection locked="0"/>
    </xf>
    <xf numFmtId="9" fontId="1" fillId="14" borderId="0" xfId="3" applyFont="1" applyFill="1" applyBorder="1" applyAlignment="1" applyProtection="1">
      <alignment horizontal="center"/>
      <protection locked="0"/>
    </xf>
    <xf numFmtId="171" fontId="15" fillId="9" borderId="0" xfId="0" applyNumberFormat="1" applyFont="1" applyFill="1" applyBorder="1" applyProtection="1">
      <protection locked="0"/>
    </xf>
    <xf numFmtId="9" fontId="0" fillId="9" borderId="0" xfId="3" applyFont="1" applyFill="1" applyBorder="1" applyAlignment="1" applyProtection="1">
      <alignment horizontal="center"/>
      <protection locked="0"/>
    </xf>
    <xf numFmtId="171" fontId="15" fillId="3" borderId="0" xfId="0" applyNumberFormat="1" applyFont="1" applyFill="1" applyBorder="1" applyProtection="1">
      <protection locked="0"/>
    </xf>
    <xf numFmtId="9" fontId="0" fillId="3" borderId="0" xfId="3" applyFont="1" applyFill="1" applyBorder="1" applyAlignment="1" applyProtection="1">
      <alignment horizontal="center"/>
      <protection locked="0"/>
    </xf>
    <xf numFmtId="171" fontId="0" fillId="3" borderId="0" xfId="0" applyNumberFormat="1" applyFont="1" applyFill="1" applyBorder="1" applyAlignment="1" applyProtection="1">
      <alignment horizontal="center"/>
      <protection locked="0"/>
    </xf>
    <xf numFmtId="171" fontId="15" fillId="14" borderId="48" xfId="0" applyNumberFormat="1" applyFont="1" applyFill="1" applyBorder="1" applyProtection="1">
      <protection locked="0"/>
    </xf>
    <xf numFmtId="171" fontId="0" fillId="14" borderId="48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Fill="1" applyBorder="1" applyAlignment="1" applyProtection="1">
      <alignment horizontal="center"/>
      <protection locked="0"/>
    </xf>
    <xf numFmtId="171" fontId="15" fillId="0" borderId="9" xfId="0" applyNumberFormat="1" applyFont="1" applyBorder="1" applyProtection="1">
      <protection locked="0"/>
    </xf>
    <xf numFmtId="171" fontId="1" fillId="0" borderId="9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73" fontId="2" fillId="14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16" borderId="0" xfId="0" applyFont="1" applyFill="1" applyBorder="1" applyAlignment="1" applyProtection="1">
      <alignment horizontal="right"/>
      <protection locked="0"/>
    </xf>
    <xf numFmtId="0" fontId="1" fillId="16" borderId="0" xfId="0" applyFont="1" applyFill="1" applyBorder="1" applyAlignment="1" applyProtection="1">
      <alignment horizontal="left"/>
      <protection locked="0"/>
    </xf>
    <xf numFmtId="0" fontId="0" fillId="16" borderId="0" xfId="0" applyFont="1" applyFill="1" applyBorder="1" applyAlignment="1" applyProtection="1">
      <alignment horizontal="left"/>
      <protection locked="0"/>
    </xf>
    <xf numFmtId="0" fontId="1" fillId="16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2" fillId="14" borderId="0" xfId="0" applyFont="1" applyFill="1" applyBorder="1" applyAlignment="1" applyProtection="1">
      <alignment horizontal="left"/>
      <protection locked="0"/>
    </xf>
    <xf numFmtId="0" fontId="1" fillId="9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14" borderId="48" xfId="0" applyFont="1" applyFill="1" applyBorder="1" applyAlignment="1" applyProtection="1">
      <alignment horizontal="right"/>
      <protection locked="0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4" fillId="4" borderId="24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3" fontId="3" fillId="12" borderId="29" xfId="1" applyNumberFormat="1" applyFont="1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8" borderId="43" xfId="1" applyNumberFormat="1" applyFont="1" applyFill="1" applyBorder="1" applyAlignment="1">
      <alignment horizontal="center"/>
    </xf>
    <xf numFmtId="165" fontId="0" fillId="8" borderId="41" xfId="1" applyNumberFormat="1" applyFon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6" fontId="0" fillId="0" borderId="21" xfId="2" applyNumberFormat="1" applyFont="1" applyBorder="1" applyAlignment="1"/>
    <xf numFmtId="166" fontId="0" fillId="0" borderId="20" xfId="2" applyNumberFormat="1" applyFont="1" applyBorder="1" applyAlignment="1"/>
    <xf numFmtId="165" fontId="2" fillId="0" borderId="44" xfId="1" applyNumberFormat="1" applyFont="1" applyFill="1" applyBorder="1" applyAlignment="1">
      <alignment horizontal="center"/>
    </xf>
    <xf numFmtId="165" fontId="2" fillId="0" borderId="20" xfId="1" applyNumberFormat="1" applyFont="1" applyFill="1" applyBorder="1" applyAlignment="1">
      <alignment horizontal="center"/>
    </xf>
    <xf numFmtId="165" fontId="0" fillId="7" borderId="31" xfId="1" applyNumberFormat="1" applyFont="1" applyFill="1" applyBorder="1" applyAlignment="1">
      <alignment horizontal="center"/>
    </xf>
    <xf numFmtId="165" fontId="0" fillId="7" borderId="7" xfId="1" applyNumberFormat="1" applyFont="1" applyFill="1" applyBorder="1" applyAlignment="1">
      <alignment horizontal="center"/>
    </xf>
    <xf numFmtId="165" fontId="0" fillId="5" borderId="3" xfId="1" applyNumberFormat="1" applyFont="1" applyFill="1" applyBorder="1" applyAlignment="1">
      <alignment horizontal="center"/>
    </xf>
    <xf numFmtId="165" fontId="0" fillId="5" borderId="4" xfId="1" applyNumberFormat="1" applyFont="1" applyFill="1" applyBorder="1" applyAlignment="1">
      <alignment horizontal="center"/>
    </xf>
    <xf numFmtId="165" fontId="10" fillId="3" borderId="9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</cellXfs>
  <cellStyles count="379"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Gevolgde hyperlink" xfId="263" builtinId="9" hidden="1"/>
    <cellStyle name="Gevolgde hyperlink" xfId="265" builtinId="9" hidden="1"/>
    <cellStyle name="Gevolgde hyperlink" xfId="267" builtinId="9" hidden="1"/>
    <cellStyle name="Gevolgde hyperlink" xfId="269" builtinId="9" hidden="1"/>
    <cellStyle name="Gevolgde hyperlink" xfId="271" builtinId="9" hidden="1"/>
    <cellStyle name="Gevolgde hyperlink" xfId="273" builtinId="9" hidden="1"/>
    <cellStyle name="Gevolgde hyperlink" xfId="275" builtinId="9" hidden="1"/>
    <cellStyle name="Gevolgde hyperlink" xfId="277" builtinId="9" hidden="1"/>
    <cellStyle name="Gevolgde hyperlink" xfId="279" builtinId="9" hidden="1"/>
    <cellStyle name="Gevolgde hyperlink" xfId="281" builtinId="9" hidden="1"/>
    <cellStyle name="Gevolgde hyperlink" xfId="283" builtinId="9" hidden="1"/>
    <cellStyle name="Gevolgde hyperlink" xfId="285" builtinId="9" hidden="1"/>
    <cellStyle name="Gevolgde hyperlink" xfId="287" builtinId="9" hidden="1"/>
    <cellStyle name="Gevolgde hyperlink" xfId="289" builtinId="9" hidden="1"/>
    <cellStyle name="Gevolgde hyperlink" xfId="291" builtinId="9" hidden="1"/>
    <cellStyle name="Gevolgde hyperlink" xfId="293" builtinId="9" hidden="1"/>
    <cellStyle name="Gevolgde hyperlink" xfId="295" builtinId="9" hidden="1"/>
    <cellStyle name="Gevolgde hyperlink" xfId="297" builtinId="9" hidden="1"/>
    <cellStyle name="Gevolgde hyperlink" xfId="299" builtinId="9" hidden="1"/>
    <cellStyle name="Gevolgde hyperlink" xfId="301" builtinId="9" hidden="1"/>
    <cellStyle name="Gevolgde hyperlink" xfId="303" builtinId="9" hidden="1"/>
    <cellStyle name="Gevolgde hyperlink" xfId="305" builtinId="9" hidden="1"/>
    <cellStyle name="Gevolgde hyperlink" xfId="307" builtinId="9" hidden="1"/>
    <cellStyle name="Gevolgde hyperlink" xfId="309" builtinId="9" hidden="1"/>
    <cellStyle name="Gevolgde hyperlink" xfId="311" builtinId="9" hidden="1"/>
    <cellStyle name="Gevolgde hyperlink" xfId="313" builtinId="9" hidden="1"/>
    <cellStyle name="Gevolgde hyperlink" xfId="315" builtinId="9" hidden="1"/>
    <cellStyle name="Gevolgde hyperlink" xfId="317" builtinId="9" hidden="1"/>
    <cellStyle name="Gevolgde hyperlink" xfId="319" builtinId="9" hidden="1"/>
    <cellStyle name="Gevolgde hyperlink" xfId="321" builtinId="9" hidden="1"/>
    <cellStyle name="Gevolgde hyperlink" xfId="323" builtinId="9" hidden="1"/>
    <cellStyle name="Gevolgde hyperlink" xfId="325" builtinId="9" hidden="1"/>
    <cellStyle name="Gevolgde hyperlink" xfId="327" builtinId="9" hidden="1"/>
    <cellStyle name="Gevolgde hyperlink" xfId="329" builtinId="9" hidden="1"/>
    <cellStyle name="Gevolgde hyperlink" xfId="331" builtinId="9" hidden="1"/>
    <cellStyle name="Gevolgde hyperlink" xfId="333" builtinId="9" hidden="1"/>
    <cellStyle name="Gevolgde hyperlink" xfId="335" builtinId="9" hidden="1"/>
    <cellStyle name="Gevolgde hyperlink" xfId="337" builtinId="9" hidden="1"/>
    <cellStyle name="Gevolgde hyperlink" xfId="339" builtinId="9" hidden="1"/>
    <cellStyle name="Gevolgde hyperlink" xfId="341" builtinId="9" hidden="1"/>
    <cellStyle name="Gevolgde hyperlink" xfId="343" builtinId="9" hidden="1"/>
    <cellStyle name="Gevolgde hyperlink" xfId="345" builtinId="9" hidden="1"/>
    <cellStyle name="Gevolgde hyperlink" xfId="347" builtinId="9" hidden="1"/>
    <cellStyle name="Gevolgde hyperlink" xfId="349" builtinId="9" hidden="1"/>
    <cellStyle name="Gevolgde hyperlink" xfId="351" builtinId="9" hidden="1"/>
    <cellStyle name="Gevolgde hyperlink" xfId="353" builtinId="9" hidden="1"/>
    <cellStyle name="Gevolgde hyperlink" xfId="355" builtinId="9" hidden="1"/>
    <cellStyle name="Gevolgde hyperlink" xfId="357" builtinId="9" hidden="1"/>
    <cellStyle name="Gevolgde hyperlink" xfId="359" builtinId="9" hidden="1"/>
    <cellStyle name="Gevolgde hyperlink" xfId="361" builtinId="9" hidden="1"/>
    <cellStyle name="Gevolgde hyperlink" xfId="363" builtinId="9" hidden="1"/>
    <cellStyle name="Gevolgde hyperlink" xfId="365" builtinId="9" hidden="1"/>
    <cellStyle name="Gevolgde hyperlink" xfId="367" builtinId="9" hidden="1"/>
    <cellStyle name="Gevolgde hyperlink" xfId="369" builtinId="9" hidden="1"/>
    <cellStyle name="Gevolgde hyperlink" xfId="371" builtinId="9" hidden="1"/>
    <cellStyle name="Gevolgde hyperlink" xfId="373" builtinId="9" hidden="1"/>
    <cellStyle name="Gevolgde hyperlink" xfId="37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/>
    <cellStyle name="Komma" xfId="1" builtinId="3"/>
    <cellStyle name="Komma 2" xfId="377" xr:uid="{00000000-0005-0000-0000-0000A5010000}"/>
    <cellStyle name="Procent" xfId="3" builtinId="5"/>
    <cellStyle name="Standaard" xfId="0" builtinId="0"/>
    <cellStyle name="Valuta" xfId="2" builtinId="4"/>
    <cellStyle name="Valuta 2" xfId="378" xr:uid="{00000000-0005-0000-0000-0000A6010000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FF"/>
      <color rgb="FF78E8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akoosterwold.nl/wat-kost-een-kavel/" TargetMode="External"/><Relationship Id="rId1" Type="http://schemas.openxmlformats.org/officeDocument/2006/relationships/hyperlink" Target="http://maakoosterwold.nl/wat-kost-een-kave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9"/>
  <sheetViews>
    <sheetView zoomScale="110" zoomScaleNormal="110" zoomScalePageLayoutView="125" workbookViewId="0">
      <selection activeCell="H46" sqref="H46"/>
    </sheetView>
  </sheetViews>
  <sheetFormatPr defaultColWidth="8.81640625" defaultRowHeight="14.5" x14ac:dyDescent="0.35"/>
  <cols>
    <col min="1" max="1" width="33.81640625" customWidth="1"/>
    <col min="2" max="2" width="8.26953125" customWidth="1"/>
    <col min="3" max="3" width="10.26953125" style="10" customWidth="1"/>
    <col min="4" max="4" width="9.81640625" style="10" hidden="1" customWidth="1"/>
    <col min="5" max="5" width="10.26953125" style="10" hidden="1" customWidth="1"/>
    <col min="6" max="6" width="8.453125" style="10" hidden="1" customWidth="1"/>
    <col min="7" max="7" width="10.26953125" style="10" hidden="1" customWidth="1"/>
    <col min="8" max="8" width="14" style="10" customWidth="1"/>
    <col min="9" max="9" width="27.453125" style="10" customWidth="1"/>
    <col min="10" max="10" width="12.26953125" bestFit="1" customWidth="1"/>
    <col min="11" max="11" width="81.453125" bestFit="1" customWidth="1"/>
    <col min="15" max="15" width="10.26953125" customWidth="1"/>
    <col min="16" max="16" width="10.453125" customWidth="1"/>
    <col min="20" max="20" width="12.54296875" customWidth="1"/>
    <col min="21" max="21" width="11.7265625" customWidth="1"/>
    <col min="22" max="22" width="10.453125" customWidth="1"/>
    <col min="23" max="23" width="10.81640625" customWidth="1"/>
  </cols>
  <sheetData>
    <row r="1" spans="1:18" ht="16.5" x14ac:dyDescent="0.35">
      <c r="A1" s="166" t="s">
        <v>23</v>
      </c>
      <c r="B1" s="248"/>
      <c r="C1" s="248"/>
      <c r="D1" s="248"/>
      <c r="E1" s="248"/>
      <c r="F1" s="248"/>
      <c r="G1" s="248"/>
      <c r="H1" s="249"/>
      <c r="J1" s="107"/>
      <c r="K1" s="246" t="s">
        <v>30</v>
      </c>
      <c r="L1" s="246"/>
      <c r="M1" s="247"/>
    </row>
    <row r="2" spans="1:18" ht="16.5" x14ac:dyDescent="0.35">
      <c r="A2" s="178" t="s">
        <v>77</v>
      </c>
      <c r="B2" s="167"/>
      <c r="C2" s="167"/>
      <c r="D2" s="167" t="str">
        <f>+E10</f>
        <v>landbouw</v>
      </c>
      <c r="E2" s="167"/>
      <c r="F2" s="167" t="str">
        <f>+G10</f>
        <v>landschap</v>
      </c>
      <c r="G2" s="167"/>
      <c r="H2" s="168" t="s">
        <v>73</v>
      </c>
      <c r="J2" s="109"/>
      <c r="K2" s="117"/>
      <c r="L2" s="117"/>
      <c r="M2" s="118"/>
    </row>
    <row r="3" spans="1:18" ht="15" thickBot="1" x14ac:dyDescent="0.4">
      <c r="A3" s="169" t="s">
        <v>74</v>
      </c>
      <c r="B3" s="170"/>
      <c r="C3" s="171"/>
      <c r="D3" s="250">
        <v>0</v>
      </c>
      <c r="E3" s="250"/>
      <c r="F3" s="250">
        <v>0</v>
      </c>
      <c r="G3" s="250"/>
      <c r="H3" s="172">
        <v>900</v>
      </c>
      <c r="J3" s="108" t="s">
        <v>27</v>
      </c>
      <c r="K3" s="105" t="s">
        <v>6</v>
      </c>
      <c r="L3" s="105" t="s">
        <v>7</v>
      </c>
      <c r="M3" s="106" t="s">
        <v>8</v>
      </c>
    </row>
    <row r="4" spans="1:18" ht="15" thickBot="1" x14ac:dyDescent="0.4">
      <c r="A4" s="88"/>
      <c r="B4" s="91"/>
      <c r="C4" s="91"/>
      <c r="D4" s="91"/>
      <c r="E4" s="91"/>
      <c r="F4" s="89"/>
      <c r="G4" s="89"/>
      <c r="H4" s="89"/>
      <c r="J4" s="109" t="s">
        <v>28</v>
      </c>
      <c r="K4" s="111">
        <v>27.87</v>
      </c>
      <c r="L4" s="112">
        <v>14.77</v>
      </c>
      <c r="M4" s="113">
        <v>12.2</v>
      </c>
    </row>
    <row r="5" spans="1:18" x14ac:dyDescent="0.35">
      <c r="A5" s="55" t="s">
        <v>24</v>
      </c>
      <c r="B5" s="98"/>
      <c r="C5" s="99"/>
      <c r="D5" s="99"/>
      <c r="E5" s="99"/>
      <c r="F5" s="99"/>
      <c r="G5" s="99"/>
      <c r="H5" s="100"/>
      <c r="I5" s="9"/>
      <c r="J5" s="109" t="s">
        <v>29</v>
      </c>
      <c r="K5" s="114">
        <v>12.19</v>
      </c>
      <c r="L5" s="80">
        <v>1.62</v>
      </c>
      <c r="M5" s="115">
        <v>2.93</v>
      </c>
    </row>
    <row r="6" spans="1:18" ht="15" thickBot="1" x14ac:dyDescent="0.4">
      <c r="A6" s="92" t="s">
        <v>83</v>
      </c>
      <c r="B6" s="89"/>
      <c r="C6" s="90"/>
      <c r="D6" s="89"/>
      <c r="E6" s="89"/>
      <c r="F6" s="89"/>
      <c r="G6" s="89"/>
      <c r="H6" s="93">
        <f>H43</f>
        <v>25569</v>
      </c>
      <c r="J6" s="110" t="s">
        <v>20</v>
      </c>
      <c r="K6" s="152">
        <f>+K5+K4</f>
        <v>40.06</v>
      </c>
      <c r="L6" s="153">
        <f>+L5+L4</f>
        <v>16.39</v>
      </c>
      <c r="M6" s="154">
        <f>+M5+M4</f>
        <v>15.129999999999999</v>
      </c>
      <c r="N6" s="155" t="s">
        <v>31</v>
      </c>
      <c r="O6" s="155"/>
      <c r="P6" s="155"/>
    </row>
    <row r="7" spans="1:18" x14ac:dyDescent="0.35">
      <c r="A7" s="94" t="s">
        <v>22</v>
      </c>
      <c r="B7" s="95"/>
      <c r="C7" s="96"/>
      <c r="D7" s="96"/>
      <c r="E7" s="96"/>
      <c r="F7" s="96"/>
      <c r="G7" s="96"/>
      <c r="H7" s="97">
        <f>H38</f>
        <v>11592</v>
      </c>
    </row>
    <row r="8" spans="1:18" ht="19" thickBot="1" x14ac:dyDescent="0.5">
      <c r="A8" s="173" t="s">
        <v>75</v>
      </c>
      <c r="B8" s="174"/>
      <c r="C8" s="175"/>
      <c r="D8" s="175"/>
      <c r="E8" s="175"/>
      <c r="F8" s="175"/>
      <c r="G8" s="175"/>
      <c r="H8" s="176">
        <f>H7+H6</f>
        <v>37161</v>
      </c>
    </row>
    <row r="9" spans="1:18" ht="15" thickBot="1" x14ac:dyDescent="0.4">
      <c r="J9" s="156" t="s">
        <v>66</v>
      </c>
      <c r="K9" s="157" t="s">
        <v>67</v>
      </c>
      <c r="L9" s="157"/>
      <c r="M9" s="157"/>
      <c r="N9" s="157"/>
      <c r="O9" s="157"/>
      <c r="P9" s="157"/>
      <c r="Q9" s="158"/>
      <c r="R9" s="157"/>
    </row>
    <row r="10" spans="1:18" x14ac:dyDescent="0.35">
      <c r="A10" s="55" t="s">
        <v>11</v>
      </c>
      <c r="B10" s="79" t="s">
        <v>71</v>
      </c>
      <c r="C10" s="56" t="s">
        <v>6</v>
      </c>
      <c r="D10" s="57"/>
      <c r="E10" s="56" t="s">
        <v>7</v>
      </c>
      <c r="F10" s="57"/>
      <c r="G10" s="56" t="s">
        <v>8</v>
      </c>
      <c r="H10" s="11"/>
      <c r="J10" s="157"/>
      <c r="K10" s="157" t="s">
        <v>68</v>
      </c>
      <c r="L10" s="157"/>
      <c r="M10" s="157"/>
      <c r="N10" s="157"/>
      <c r="O10" s="157"/>
      <c r="P10" s="157"/>
      <c r="Q10" s="157"/>
      <c r="R10" s="157"/>
    </row>
    <row r="11" spans="1:18" x14ac:dyDescent="0.35">
      <c r="A11" s="2" t="s">
        <v>32</v>
      </c>
      <c r="B11" s="2"/>
      <c r="C11" s="13">
        <v>0.25</v>
      </c>
      <c r="D11" s="14"/>
      <c r="E11" s="15">
        <v>7.0000000000000007E-2</v>
      </c>
      <c r="F11" s="16"/>
      <c r="G11" s="13">
        <v>0.06</v>
      </c>
      <c r="J11" s="157"/>
      <c r="K11" s="157" t="s">
        <v>69</v>
      </c>
      <c r="L11" s="157"/>
      <c r="M11" s="157"/>
      <c r="N11" s="157"/>
      <c r="O11" s="157"/>
      <c r="P11" s="157"/>
      <c r="Q11" s="157"/>
      <c r="R11" s="157"/>
    </row>
    <row r="12" spans="1:18" ht="15" thickBot="1" x14ac:dyDescent="0.4">
      <c r="A12" s="119" t="s">
        <v>12</v>
      </c>
      <c r="B12" s="119"/>
      <c r="C12" s="120">
        <v>0.5</v>
      </c>
      <c r="D12" s="121"/>
      <c r="E12" s="122">
        <v>0.5</v>
      </c>
      <c r="F12" s="123"/>
      <c r="G12" s="120">
        <v>0.5</v>
      </c>
      <c r="J12" s="157"/>
      <c r="K12" s="157"/>
      <c r="L12" s="157"/>
      <c r="M12" s="157"/>
      <c r="N12" s="157"/>
      <c r="O12" s="157"/>
      <c r="P12" s="157"/>
      <c r="Q12" s="157"/>
      <c r="R12" s="157"/>
    </row>
    <row r="13" spans="1:18" x14ac:dyDescent="0.35">
      <c r="A13" s="124" t="s">
        <v>13</v>
      </c>
      <c r="B13" s="125"/>
      <c r="C13" s="126">
        <f>+C11/2</f>
        <v>0.125</v>
      </c>
      <c r="D13" s="127"/>
      <c r="E13" s="128">
        <f>+E11*0.333333/2</f>
        <v>1.1666655000000001E-2</v>
      </c>
      <c r="F13" s="127"/>
      <c r="G13" s="126">
        <f>+G11/2</f>
        <v>0.03</v>
      </c>
    </row>
    <row r="14" spans="1:18" ht="15" thickBot="1" x14ac:dyDescent="0.4">
      <c r="A14" s="129" t="s">
        <v>63</v>
      </c>
      <c r="B14" s="130"/>
      <c r="C14" s="131"/>
      <c r="D14" s="138">
        <f>+E11*0.666667/2</f>
        <v>2.3333345000000002E-2</v>
      </c>
      <c r="E14" s="132"/>
      <c r="F14" s="133"/>
      <c r="G14" s="131"/>
    </row>
    <row r="15" spans="1:18" x14ac:dyDescent="0.35">
      <c r="A15" s="75" t="s">
        <v>33</v>
      </c>
      <c r="B15" s="66"/>
      <c r="C15" s="73">
        <v>0.11</v>
      </c>
      <c r="D15" s="74"/>
      <c r="E15" s="73">
        <v>0.05</v>
      </c>
      <c r="F15" s="74"/>
      <c r="G15" s="73">
        <v>0.05</v>
      </c>
    </row>
    <row r="16" spans="1:18" x14ac:dyDescent="0.35">
      <c r="A16" s="76" t="s">
        <v>34</v>
      </c>
      <c r="B16" s="46"/>
      <c r="C16" s="47"/>
      <c r="D16" s="48"/>
      <c r="E16" s="47"/>
      <c r="F16" s="48"/>
      <c r="G16" s="47">
        <v>0.8</v>
      </c>
      <c r="Q16" s="155"/>
    </row>
    <row r="17" spans="1:17" x14ac:dyDescent="0.35">
      <c r="A17" s="76" t="s">
        <v>35</v>
      </c>
      <c r="B17" s="46"/>
      <c r="C17" s="71">
        <v>7.0000000000000007E-2</v>
      </c>
      <c r="D17" s="72"/>
      <c r="E17" s="71">
        <v>1.4999999999999999E-2</v>
      </c>
      <c r="F17" s="72"/>
      <c r="G17" s="71">
        <v>1.4999999999999999E-2</v>
      </c>
    </row>
    <row r="18" spans="1:17" x14ac:dyDescent="0.35">
      <c r="A18" s="77" t="s">
        <v>36</v>
      </c>
      <c r="B18" s="41"/>
      <c r="C18" s="69">
        <v>0.02</v>
      </c>
      <c r="D18" s="70"/>
      <c r="E18" s="69">
        <v>1.4999999999999999E-2</v>
      </c>
      <c r="F18" s="70"/>
      <c r="G18" s="69">
        <v>2.3E-2</v>
      </c>
      <c r="Q18" s="101"/>
    </row>
    <row r="19" spans="1:17" ht="15" thickBot="1" x14ac:dyDescent="0.4">
      <c r="A19" s="78" t="s">
        <v>37</v>
      </c>
      <c r="B19" s="49"/>
      <c r="C19" s="50">
        <v>0.5</v>
      </c>
      <c r="D19" s="51"/>
      <c r="E19" s="50">
        <v>0.8</v>
      </c>
      <c r="F19" s="51"/>
      <c r="G19" s="50"/>
    </row>
    <row r="20" spans="1:17" x14ac:dyDescent="0.35">
      <c r="A20" s="139" t="s">
        <v>65</v>
      </c>
      <c r="B20" s="140"/>
      <c r="C20" s="141">
        <f>C19+C11+C15+C17+C18</f>
        <v>0.95</v>
      </c>
      <c r="D20" s="142"/>
      <c r="E20" s="141">
        <f>E19+E11+E15+E17+E18</f>
        <v>0.95000000000000018</v>
      </c>
      <c r="F20" s="142"/>
      <c r="G20" s="143">
        <f>G19+G11+G15+G17+G18+G16</f>
        <v>0.94800000000000006</v>
      </c>
    </row>
    <row r="21" spans="1:17" ht="15" thickBot="1" x14ac:dyDescent="0.4">
      <c r="A21" s="81" t="s">
        <v>64</v>
      </c>
      <c r="B21" s="82"/>
      <c r="C21" s="144">
        <f>1-C20</f>
        <v>5.0000000000000044E-2</v>
      </c>
      <c r="D21" s="145"/>
      <c r="E21" s="144">
        <f>1-E20</f>
        <v>4.9999999999999822E-2</v>
      </c>
      <c r="F21" s="145"/>
      <c r="G21" s="146">
        <f>1-G20</f>
        <v>5.1999999999999935E-2</v>
      </c>
    </row>
    <row r="22" spans="1:17" ht="15" thickBot="1" x14ac:dyDescent="0.4">
      <c r="C22" s="116"/>
    </row>
    <row r="23" spans="1:17" x14ac:dyDescent="0.35">
      <c r="A23" s="55" t="str">
        <f>+A10</f>
        <v>SAMENSTELLING KAVEL</v>
      </c>
      <c r="B23" s="159" t="s">
        <v>70</v>
      </c>
      <c r="C23" s="56" t="s">
        <v>6</v>
      </c>
      <c r="D23" s="257" t="s">
        <v>7</v>
      </c>
      <c r="E23" s="258"/>
      <c r="F23" s="57"/>
      <c r="G23" s="56"/>
      <c r="H23"/>
    </row>
    <row r="24" spans="1:17" ht="15" thickBot="1" x14ac:dyDescent="0.4">
      <c r="A24" s="2" t="s">
        <v>0</v>
      </c>
      <c r="B24" s="2"/>
      <c r="C24" s="58">
        <f>+C11*C$32</f>
        <v>225</v>
      </c>
      <c r="D24" s="255">
        <f>+E11*D$32</f>
        <v>0</v>
      </c>
      <c r="E24" s="256"/>
      <c r="F24" s="17"/>
      <c r="G24" s="58">
        <f>+G11*G$32</f>
        <v>0</v>
      </c>
      <c r="H24"/>
    </row>
    <row r="25" spans="1:17" x14ac:dyDescent="0.35">
      <c r="A25" s="125" t="str">
        <f>+A13</f>
        <v>wonen rood (bvo)</v>
      </c>
      <c r="B25" s="125"/>
      <c r="C25" s="134">
        <f t="shared" ref="C25:C31" si="0">+C13*C$32</f>
        <v>112.5</v>
      </c>
      <c r="D25" s="160"/>
      <c r="E25" s="134">
        <f>+E13*D$32</f>
        <v>0</v>
      </c>
      <c r="F25" s="135"/>
      <c r="G25" s="134">
        <f t="shared" ref="G25:G31" si="1">+G13*G$32</f>
        <v>0</v>
      </c>
      <c r="H25"/>
    </row>
    <row r="26" spans="1:17" ht="15" thickBot="1" x14ac:dyDescent="0.4">
      <c r="A26" s="130" t="str">
        <f>+A14</f>
        <v>agrarisch rood (bvo)  (2/3e deel van BVO)</v>
      </c>
      <c r="B26" s="130"/>
      <c r="C26" s="136">
        <f t="shared" si="0"/>
        <v>0</v>
      </c>
      <c r="D26" s="161">
        <f>+D14*D$32</f>
        <v>0</v>
      </c>
      <c r="E26" s="136"/>
      <c r="F26" s="137"/>
      <c r="G26" s="136">
        <f t="shared" si="1"/>
        <v>0</v>
      </c>
      <c r="H26"/>
      <c r="P26" s="101"/>
      <c r="Q26" s="101"/>
    </row>
    <row r="27" spans="1:17" ht="15" thickBot="1" x14ac:dyDescent="0.4">
      <c r="A27" s="66" t="s">
        <v>1</v>
      </c>
      <c r="B27" s="66"/>
      <c r="C27" s="67">
        <f t="shared" si="0"/>
        <v>99</v>
      </c>
      <c r="D27" s="253">
        <f>+E15*D$32</f>
        <v>0</v>
      </c>
      <c r="E27" s="254"/>
      <c r="F27" s="68"/>
      <c r="G27" s="67">
        <f t="shared" si="1"/>
        <v>0</v>
      </c>
      <c r="H27"/>
    </row>
    <row r="28" spans="1:17" x14ac:dyDescent="0.35">
      <c r="A28" s="46" t="s">
        <v>2</v>
      </c>
      <c r="B28" s="46"/>
      <c r="C28" s="60">
        <f t="shared" si="0"/>
        <v>0</v>
      </c>
      <c r="D28" s="251">
        <f>+E16*D$32</f>
        <v>0</v>
      </c>
      <c r="E28" s="252"/>
      <c r="F28" s="61"/>
      <c r="G28" s="62">
        <f t="shared" si="1"/>
        <v>0</v>
      </c>
      <c r="H28"/>
    </row>
    <row r="29" spans="1:17" ht="15" thickBot="1" x14ac:dyDescent="0.4">
      <c r="A29" s="46" t="s">
        <v>3</v>
      </c>
      <c r="B29" s="46"/>
      <c r="C29" s="63">
        <f t="shared" si="0"/>
        <v>63.000000000000007</v>
      </c>
      <c r="D29" s="267">
        <f>+E17*D$32</f>
        <v>0</v>
      </c>
      <c r="E29" s="268"/>
      <c r="F29" s="64"/>
      <c r="G29" s="65">
        <f t="shared" si="1"/>
        <v>0</v>
      </c>
      <c r="H29"/>
    </row>
    <row r="30" spans="1:17" x14ac:dyDescent="0.35">
      <c r="A30" s="41" t="s">
        <v>4</v>
      </c>
      <c r="B30" s="41"/>
      <c r="C30" s="44">
        <f t="shared" si="0"/>
        <v>18</v>
      </c>
      <c r="D30" s="265">
        <f>+E18*D$32</f>
        <v>0</v>
      </c>
      <c r="E30" s="266"/>
      <c r="F30" s="45"/>
      <c r="G30" s="44">
        <f t="shared" si="1"/>
        <v>0</v>
      </c>
      <c r="H30"/>
    </row>
    <row r="31" spans="1:17" x14ac:dyDescent="0.35">
      <c r="A31" s="52" t="s">
        <v>5</v>
      </c>
      <c r="B31" s="52"/>
      <c r="C31" s="53">
        <f t="shared" si="0"/>
        <v>450</v>
      </c>
      <c r="D31" s="263">
        <f>+E19*D$32</f>
        <v>0</v>
      </c>
      <c r="E31" s="264"/>
      <c r="F31" s="54"/>
      <c r="G31" s="53">
        <f t="shared" si="1"/>
        <v>0</v>
      </c>
      <c r="H31"/>
    </row>
    <row r="32" spans="1:17" ht="15" thickBot="1" x14ac:dyDescent="0.4">
      <c r="A32" s="8" t="s">
        <v>10</v>
      </c>
      <c r="B32" s="8"/>
      <c r="C32" s="18">
        <f>+H3</f>
        <v>900</v>
      </c>
      <c r="D32" s="261">
        <f>+D3</f>
        <v>0</v>
      </c>
      <c r="E32" s="262"/>
      <c r="F32" s="19"/>
      <c r="G32" s="18">
        <f>+F3</f>
        <v>0</v>
      </c>
      <c r="H32"/>
    </row>
    <row r="33" spans="1:18" x14ac:dyDescent="0.35">
      <c r="A33" s="147" t="str">
        <f>+A20</f>
        <v>Totaal volgens minimale percentages:</v>
      </c>
      <c r="B33" s="140"/>
      <c r="C33" s="164">
        <f>+C31+C30+C29+C27+C24</f>
        <v>855</v>
      </c>
      <c r="D33" s="162"/>
      <c r="E33" s="148">
        <f>+D24+D27+D29+D30+D31</f>
        <v>0</v>
      </c>
      <c r="F33" s="149"/>
      <c r="G33" s="148">
        <f>+G24+G27+G28+G29+G30</f>
        <v>0</v>
      </c>
      <c r="H33"/>
    </row>
    <row r="34" spans="1:18" ht="15" thickBot="1" x14ac:dyDescent="0.4">
      <c r="A34" s="81" t="s">
        <v>64</v>
      </c>
      <c r="B34" s="82"/>
      <c r="C34" s="165">
        <f>+H3-C33</f>
        <v>45</v>
      </c>
      <c r="D34" s="163"/>
      <c r="E34" s="150">
        <f>+D3-E33</f>
        <v>0</v>
      </c>
      <c r="F34" s="151"/>
      <c r="G34" s="150">
        <f>+F3-G33</f>
        <v>0</v>
      </c>
      <c r="H34"/>
    </row>
    <row r="35" spans="1:18" ht="15" thickBot="1" x14ac:dyDescent="0.4"/>
    <row r="36" spans="1:18" x14ac:dyDescent="0.35">
      <c r="A36" s="55" t="s">
        <v>80</v>
      </c>
      <c r="B36" s="79" t="s">
        <v>72</v>
      </c>
      <c r="C36" s="180">
        <v>12.88</v>
      </c>
      <c r="D36" s="57"/>
      <c r="E36" s="56"/>
      <c r="F36" s="57"/>
      <c r="G36" s="56"/>
      <c r="H36" s="56"/>
      <c r="I36"/>
    </row>
    <row r="37" spans="1:18" ht="15" thickBot="1" x14ac:dyDescent="0.4">
      <c r="A37" s="5" t="s">
        <v>79</v>
      </c>
      <c r="B37" s="7"/>
      <c r="C37" s="30"/>
      <c r="D37" s="42" t="e">
        <f>+#REF!*10.383</f>
        <v>#REF!</v>
      </c>
      <c r="E37" s="43" t="e">
        <f>+#REF!*48.9656</f>
        <v>#REF!</v>
      </c>
      <c r="F37" s="12"/>
      <c r="G37" s="21"/>
      <c r="H37" s="21"/>
      <c r="I37"/>
      <c r="P37" s="102"/>
      <c r="Q37" s="101"/>
      <c r="R37" s="103"/>
    </row>
    <row r="38" spans="1:18" ht="15" thickBot="1" x14ac:dyDescent="0.4">
      <c r="A38" s="38"/>
      <c r="B38" s="6"/>
      <c r="C38" s="22">
        <f>+C36*C32</f>
        <v>11592</v>
      </c>
      <c r="D38" s="259" t="e">
        <f>+D37+E37</f>
        <v>#REF!</v>
      </c>
      <c r="E38" s="260"/>
      <c r="F38" s="27"/>
      <c r="G38" s="26" t="e">
        <f>+#REF!/(800/39000)</f>
        <v>#REF!</v>
      </c>
      <c r="H38" s="32">
        <f>+C38</f>
        <v>11592</v>
      </c>
      <c r="I38"/>
      <c r="K38" s="179"/>
    </row>
    <row r="39" spans="1:18" ht="15" thickBot="1" x14ac:dyDescent="0.4">
      <c r="A39" s="40"/>
      <c r="B39" s="3"/>
      <c r="C39" s="83"/>
      <c r="D39" s="84"/>
      <c r="E39" s="84"/>
      <c r="F39" s="83"/>
      <c r="G39" s="83"/>
      <c r="H39" s="25"/>
      <c r="I39" s="3"/>
    </row>
    <row r="40" spans="1:18" x14ac:dyDescent="0.35">
      <c r="A40" s="55" t="s">
        <v>14</v>
      </c>
      <c r="B40" s="79" t="s">
        <v>21</v>
      </c>
      <c r="C40" s="56"/>
      <c r="D40" s="57"/>
      <c r="E40" s="56"/>
      <c r="F40" s="57"/>
      <c r="G40" s="56"/>
      <c r="H40" s="56"/>
      <c r="I40"/>
    </row>
    <row r="41" spans="1:18" x14ac:dyDescent="0.35">
      <c r="A41" s="2" t="s">
        <v>15</v>
      </c>
      <c r="B41" s="2"/>
      <c r="C41" s="20">
        <f>+C32</f>
        <v>900</v>
      </c>
      <c r="D41" s="12"/>
      <c r="E41" s="20">
        <f>+D32</f>
        <v>0</v>
      </c>
      <c r="F41" s="12"/>
      <c r="G41" s="20">
        <f>+G32</f>
        <v>0</v>
      </c>
      <c r="H41" s="33"/>
      <c r="I41"/>
    </row>
    <row r="42" spans="1:18" x14ac:dyDescent="0.35">
      <c r="A42" s="7" t="s">
        <v>78</v>
      </c>
      <c r="B42" s="7"/>
      <c r="C42" s="30">
        <v>28.41</v>
      </c>
      <c r="D42" s="31"/>
      <c r="E42" s="30">
        <v>14.77</v>
      </c>
      <c r="F42" s="31"/>
      <c r="G42" s="30">
        <v>12.2</v>
      </c>
      <c r="H42" s="177" t="s">
        <v>76</v>
      </c>
      <c r="I42"/>
    </row>
    <row r="43" spans="1:18" ht="15" thickBot="1" x14ac:dyDescent="0.4">
      <c r="A43" s="6" t="s">
        <v>16</v>
      </c>
      <c r="B43" s="6"/>
      <c r="C43" s="22">
        <f>+C42*C41</f>
        <v>25569</v>
      </c>
      <c r="D43" s="23"/>
      <c r="E43" s="22">
        <f>+E42*E41</f>
        <v>0</v>
      </c>
      <c r="F43" s="23"/>
      <c r="G43" s="22">
        <f>+G42*G41</f>
        <v>0</v>
      </c>
      <c r="H43" s="24">
        <f>SUM(B43:G43)</f>
        <v>25569</v>
      </c>
      <c r="I43"/>
    </row>
    <row r="44" spans="1:18" ht="15" thickBot="1" x14ac:dyDescent="0.4">
      <c r="I44"/>
    </row>
    <row r="45" spans="1:18" x14ac:dyDescent="0.35">
      <c r="A45" s="55" t="s">
        <v>9</v>
      </c>
      <c r="B45" s="79" t="s">
        <v>21</v>
      </c>
      <c r="C45" s="56"/>
      <c r="D45" s="57"/>
      <c r="E45" s="56"/>
      <c r="F45" s="57"/>
      <c r="G45" s="56"/>
      <c r="H45" s="56"/>
      <c r="I45"/>
    </row>
    <row r="46" spans="1:18" ht="15" thickBot="1" x14ac:dyDescent="0.4">
      <c r="A46" s="6" t="s">
        <v>17</v>
      </c>
      <c r="B46" s="6"/>
      <c r="C46" s="22">
        <f>+C43+C38</f>
        <v>37161</v>
      </c>
      <c r="D46" s="23"/>
      <c r="E46" s="22" t="e">
        <f>+E43+E37+D37</f>
        <v>#REF!</v>
      </c>
      <c r="F46" s="23"/>
      <c r="G46" s="22" t="e">
        <f>+G43+G38</f>
        <v>#REF!</v>
      </c>
      <c r="H46" s="22">
        <f>+H43+H38</f>
        <v>37161</v>
      </c>
      <c r="I46" s="34"/>
    </row>
    <row r="47" spans="1:18" ht="15" thickBot="1" x14ac:dyDescent="0.4">
      <c r="C47" s="39"/>
      <c r="E47" s="39"/>
      <c r="G47" s="39"/>
      <c r="H47" s="86"/>
      <c r="I47"/>
    </row>
    <row r="48" spans="1:18" x14ac:dyDescent="0.35">
      <c r="A48" s="1" t="s">
        <v>18</v>
      </c>
      <c r="B48" s="1"/>
      <c r="C48" s="181">
        <f>+C46/C24</f>
        <v>165.16</v>
      </c>
      <c r="D48" s="59"/>
      <c r="E48" s="36" t="e">
        <f>+E46/D24</f>
        <v>#REF!</v>
      </c>
      <c r="F48" s="35"/>
      <c r="G48" s="36" t="e">
        <f>+G46/G24</f>
        <v>#REF!</v>
      </c>
      <c r="H48" s="87"/>
      <c r="I48"/>
    </row>
    <row r="49" spans="1:9" ht="15" thickBot="1" x14ac:dyDescent="0.4">
      <c r="A49" s="4" t="s">
        <v>19</v>
      </c>
      <c r="B49" s="4"/>
      <c r="C49" s="182">
        <f>+C46/C32</f>
        <v>41.29</v>
      </c>
      <c r="D49" s="29"/>
      <c r="E49" s="28" t="e">
        <f>+E46/D32</f>
        <v>#REF!</v>
      </c>
      <c r="F49" s="37"/>
      <c r="G49" s="28" t="e">
        <f>+G46/G32</f>
        <v>#REF!</v>
      </c>
      <c r="H49" s="85"/>
      <c r="I49"/>
    </row>
    <row r="50" spans="1:9" x14ac:dyDescent="0.35">
      <c r="F50"/>
      <c r="G50"/>
      <c r="H50"/>
    </row>
    <row r="51" spans="1:9" x14ac:dyDescent="0.35">
      <c r="A51" t="s">
        <v>25</v>
      </c>
      <c r="I51"/>
    </row>
    <row r="52" spans="1:9" x14ac:dyDescent="0.35">
      <c r="A52" t="s">
        <v>81</v>
      </c>
    </row>
    <row r="53" spans="1:9" x14ac:dyDescent="0.35">
      <c r="A53" t="s">
        <v>82</v>
      </c>
      <c r="H53" s="39"/>
    </row>
    <row r="54" spans="1:9" x14ac:dyDescent="0.35">
      <c r="F54"/>
      <c r="G54"/>
      <c r="H54"/>
    </row>
    <row r="55" spans="1:9" x14ac:dyDescent="0.35">
      <c r="C55"/>
      <c r="D55"/>
      <c r="E55"/>
      <c r="F55"/>
      <c r="G55"/>
      <c r="H55"/>
      <c r="I55"/>
    </row>
    <row r="56" spans="1:9" x14ac:dyDescent="0.35">
      <c r="A56" s="104" t="s">
        <v>54</v>
      </c>
      <c r="I56"/>
    </row>
    <row r="57" spans="1:9" x14ac:dyDescent="0.35">
      <c r="C57" t="s">
        <v>38</v>
      </c>
      <c r="F57"/>
      <c r="G57"/>
      <c r="H57"/>
      <c r="I57"/>
    </row>
    <row r="58" spans="1:9" x14ac:dyDescent="0.35">
      <c r="B58" t="s">
        <v>55</v>
      </c>
      <c r="C58" t="s">
        <v>62</v>
      </c>
      <c r="F58"/>
      <c r="G58"/>
      <c r="H58"/>
      <c r="I58"/>
    </row>
    <row r="59" spans="1:9" x14ac:dyDescent="0.35">
      <c r="C59" t="s">
        <v>39</v>
      </c>
      <c r="F59"/>
      <c r="G59"/>
      <c r="H59"/>
      <c r="I59"/>
    </row>
    <row r="60" spans="1:9" x14ac:dyDescent="0.35">
      <c r="C60" t="s">
        <v>40</v>
      </c>
      <c r="F60"/>
      <c r="G60"/>
      <c r="H60"/>
      <c r="I60"/>
    </row>
    <row r="61" spans="1:9" x14ac:dyDescent="0.35">
      <c r="B61" t="s">
        <v>26</v>
      </c>
      <c r="C61" t="s">
        <v>59</v>
      </c>
      <c r="F61"/>
      <c r="G61"/>
      <c r="H61"/>
      <c r="I61"/>
    </row>
    <row r="62" spans="1:9" x14ac:dyDescent="0.35">
      <c r="C62" t="s">
        <v>41</v>
      </c>
      <c r="F62"/>
      <c r="G62"/>
      <c r="H62"/>
      <c r="I62"/>
    </row>
    <row r="63" spans="1:9" x14ac:dyDescent="0.35">
      <c r="C63" t="s">
        <v>42</v>
      </c>
    </row>
    <row r="64" spans="1:9" x14ac:dyDescent="0.35">
      <c r="C64" t="s">
        <v>43</v>
      </c>
    </row>
    <row r="65" spans="1:3" x14ac:dyDescent="0.35">
      <c r="B65" t="s">
        <v>56</v>
      </c>
      <c r="C65" t="s">
        <v>60</v>
      </c>
    </row>
    <row r="66" spans="1:3" x14ac:dyDescent="0.35">
      <c r="C66" t="s">
        <v>44</v>
      </c>
    </row>
    <row r="67" spans="1:3" x14ac:dyDescent="0.35">
      <c r="C67" t="s">
        <v>42</v>
      </c>
    </row>
    <row r="68" spans="1:3" x14ac:dyDescent="0.35">
      <c r="C68" t="s">
        <v>45</v>
      </c>
    </row>
    <row r="69" spans="1:3" x14ac:dyDescent="0.35">
      <c r="B69" t="s">
        <v>57</v>
      </c>
      <c r="C69" t="s">
        <v>61</v>
      </c>
    </row>
    <row r="70" spans="1:3" x14ac:dyDescent="0.35">
      <c r="C70" t="s">
        <v>46</v>
      </c>
    </row>
    <row r="71" spans="1:3" x14ac:dyDescent="0.35">
      <c r="C71" t="s">
        <v>47</v>
      </c>
    </row>
    <row r="72" spans="1:3" x14ac:dyDescent="0.35">
      <c r="C72" t="s">
        <v>48</v>
      </c>
    </row>
    <row r="73" spans="1:3" x14ac:dyDescent="0.35">
      <c r="C73"/>
    </row>
    <row r="74" spans="1:3" x14ac:dyDescent="0.35">
      <c r="A74" s="104" t="s">
        <v>58</v>
      </c>
    </row>
    <row r="75" spans="1:3" x14ac:dyDescent="0.35">
      <c r="C75" t="s">
        <v>49</v>
      </c>
    </row>
    <row r="76" spans="1:3" x14ac:dyDescent="0.35">
      <c r="C76" t="s">
        <v>50</v>
      </c>
    </row>
    <row r="77" spans="1:3" x14ac:dyDescent="0.35">
      <c r="C77" t="s">
        <v>51</v>
      </c>
    </row>
    <row r="78" spans="1:3" x14ac:dyDescent="0.35">
      <c r="C78" t="s">
        <v>52</v>
      </c>
    </row>
    <row r="79" spans="1:3" x14ac:dyDescent="0.35">
      <c r="C79" t="s">
        <v>53</v>
      </c>
    </row>
  </sheetData>
  <mergeCells count="13">
    <mergeCell ref="D38:E38"/>
    <mergeCell ref="D32:E32"/>
    <mergeCell ref="D31:E31"/>
    <mergeCell ref="D30:E30"/>
    <mergeCell ref="D29:E29"/>
    <mergeCell ref="K1:M1"/>
    <mergeCell ref="B1:H1"/>
    <mergeCell ref="D3:E3"/>
    <mergeCell ref="F3:G3"/>
    <mergeCell ref="D28:E28"/>
    <mergeCell ref="D27:E27"/>
    <mergeCell ref="D24:E24"/>
    <mergeCell ref="D23:E23"/>
  </mergeCells>
  <phoneticPr fontId="7" type="noConversion"/>
  <hyperlinks>
    <hyperlink ref="H42" r:id="rId1" xr:uid="{00000000-0004-0000-0000-000000000000}"/>
    <hyperlink ref="A2" r:id="rId2" xr:uid="{00000000-0004-0000-0000-000001000000}"/>
  </hyperlinks>
  <pageMargins left="0.25" right="0.25" top="0.75" bottom="0.75" header="0.3" footer="0.3"/>
  <pageSetup paperSize="9" fitToHeight="0" orientation="portrait" horizontalDpi="4294967292" verticalDpi="4294967292"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959F7-6831-4036-A3F7-9D9B496C47CB}">
  <dimension ref="A1:E81"/>
  <sheetViews>
    <sheetView tabSelected="1" topLeftCell="A61" workbookViewId="0">
      <selection activeCell="E75" sqref="E75"/>
    </sheetView>
  </sheetViews>
  <sheetFormatPr defaultRowHeight="14.5" x14ac:dyDescent="0.35"/>
  <cols>
    <col min="1" max="1" width="79.1796875" bestFit="1" customWidth="1"/>
    <col min="2" max="2" width="22" bestFit="1" customWidth="1"/>
    <col min="3" max="3" width="15" style="212" customWidth="1"/>
    <col min="4" max="4" width="18.54296875" bestFit="1" customWidth="1"/>
    <col min="5" max="5" width="12.1796875" bestFit="1" customWidth="1"/>
  </cols>
  <sheetData>
    <row r="1" spans="1:4" x14ac:dyDescent="0.35">
      <c r="A1" s="197" t="s">
        <v>156</v>
      </c>
      <c r="B1" s="198"/>
      <c r="C1" s="208" t="s">
        <v>157</v>
      </c>
      <c r="D1" s="199" t="s">
        <v>84</v>
      </c>
    </row>
    <row r="2" spans="1:4" x14ac:dyDescent="0.35">
      <c r="A2" s="191"/>
      <c r="B2" s="200"/>
      <c r="C2" s="209"/>
      <c r="D2" s="192">
        <f>B78</f>
        <v>228095.14</v>
      </c>
    </row>
    <row r="3" spans="1:4" x14ac:dyDescent="0.35">
      <c r="A3" s="191"/>
      <c r="B3" s="200" t="s">
        <v>85</v>
      </c>
      <c r="C3" s="209"/>
      <c r="D3" s="201" t="s">
        <v>86</v>
      </c>
    </row>
    <row r="4" spans="1:4" ht="18.5" x14ac:dyDescent="0.45">
      <c r="A4" s="193"/>
      <c r="B4" s="202" t="s">
        <v>148</v>
      </c>
      <c r="C4" s="210"/>
      <c r="D4" s="190" t="s">
        <v>87</v>
      </c>
    </row>
    <row r="5" spans="1:4" x14ac:dyDescent="0.35">
      <c r="A5" s="189"/>
      <c r="B5" s="203"/>
      <c r="C5" s="211"/>
      <c r="D5" s="194"/>
    </row>
    <row r="6" spans="1:4" x14ac:dyDescent="0.35">
      <c r="A6" s="233">
        <f>SUM(B7:B13)</f>
        <v>43695.14</v>
      </c>
      <c r="B6" s="203" t="s">
        <v>163</v>
      </c>
      <c r="C6" s="211"/>
      <c r="D6" s="194"/>
    </row>
    <row r="7" spans="1:4" x14ac:dyDescent="0.35">
      <c r="A7" s="234" t="s">
        <v>88</v>
      </c>
      <c r="B7" s="213">
        <f>kavelprijs!H38*0.1</f>
        <v>1159.2</v>
      </c>
      <c r="C7" s="214" t="s">
        <v>158</v>
      </c>
      <c r="D7" s="204">
        <f>IF(C7="Ja",B7,0)</f>
        <v>1159.2</v>
      </c>
    </row>
    <row r="8" spans="1:4" x14ac:dyDescent="0.35">
      <c r="A8" s="234" t="s">
        <v>89</v>
      </c>
      <c r="B8" s="213">
        <f>kavelprijs!H38*0.1</f>
        <v>1159.2</v>
      </c>
      <c r="C8" s="214" t="s">
        <v>158</v>
      </c>
      <c r="D8" s="204">
        <f t="shared" ref="D8:D13" si="0">IF(C8="Ja",B8,0)</f>
        <v>1159.2</v>
      </c>
    </row>
    <row r="9" spans="1:4" x14ac:dyDescent="0.35">
      <c r="A9" s="234" t="s">
        <v>90</v>
      </c>
      <c r="B9" s="213">
        <f>kavelprijs!H38*0.8</f>
        <v>9273.6</v>
      </c>
      <c r="C9" s="214" t="s">
        <v>158</v>
      </c>
      <c r="D9" s="204">
        <f t="shared" si="0"/>
        <v>9273.6</v>
      </c>
    </row>
    <row r="10" spans="1:4" x14ac:dyDescent="0.35">
      <c r="A10" s="234" t="s">
        <v>91</v>
      </c>
      <c r="B10" s="213">
        <f>kavelprijs!H43</f>
        <v>25569</v>
      </c>
      <c r="C10" s="214" t="s">
        <v>158</v>
      </c>
      <c r="D10" s="204">
        <f t="shared" si="0"/>
        <v>25569</v>
      </c>
    </row>
    <row r="11" spans="1:4" x14ac:dyDescent="0.35">
      <c r="A11" s="234" t="s">
        <v>92</v>
      </c>
      <c r="B11" s="213">
        <f>D10*0.06</f>
        <v>1534.1399999999999</v>
      </c>
      <c r="C11" s="214" t="s">
        <v>158</v>
      </c>
      <c r="D11" s="204">
        <f t="shared" si="0"/>
        <v>1534.1399999999999</v>
      </c>
    </row>
    <row r="12" spans="1:4" s="185" customFormat="1" x14ac:dyDescent="0.35">
      <c r="A12" s="234"/>
      <c r="B12" s="213"/>
      <c r="C12" s="215"/>
      <c r="D12" s="204">
        <f t="shared" si="0"/>
        <v>0</v>
      </c>
    </row>
    <row r="13" spans="1:4" x14ac:dyDescent="0.35">
      <c r="A13" s="234" t="s">
        <v>93</v>
      </c>
      <c r="B13" s="216">
        <v>5000</v>
      </c>
      <c r="C13" s="214" t="s">
        <v>158</v>
      </c>
      <c r="D13" s="204">
        <f t="shared" si="0"/>
        <v>5000</v>
      </c>
    </row>
    <row r="14" spans="1:4" x14ac:dyDescent="0.35">
      <c r="A14" s="233">
        <f>SUM(B15:B36)</f>
        <v>180000</v>
      </c>
      <c r="B14" s="217" t="s">
        <v>164</v>
      </c>
      <c r="C14" s="218"/>
      <c r="D14" s="195"/>
    </row>
    <row r="15" spans="1:4" x14ac:dyDescent="0.35">
      <c r="A15" s="235"/>
      <c r="B15" s="213">
        <v>110000</v>
      </c>
      <c r="C15" s="214" t="s">
        <v>158</v>
      </c>
      <c r="D15" s="192"/>
    </row>
    <row r="16" spans="1:4" x14ac:dyDescent="0.35">
      <c r="A16" s="236" t="s">
        <v>94</v>
      </c>
      <c r="B16" s="213"/>
      <c r="C16" s="214" t="s">
        <v>158</v>
      </c>
      <c r="D16" s="192">
        <f>B15*0.3</f>
        <v>33000</v>
      </c>
    </row>
    <row r="17" spans="1:4" x14ac:dyDescent="0.35">
      <c r="A17" s="236" t="s">
        <v>95</v>
      </c>
      <c r="B17" s="213"/>
      <c r="C17" s="214" t="s">
        <v>158</v>
      </c>
      <c r="D17" s="192">
        <f>B15*0.1</f>
        <v>11000</v>
      </c>
    </row>
    <row r="18" spans="1:4" x14ac:dyDescent="0.35">
      <c r="A18" s="236" t="s">
        <v>96</v>
      </c>
      <c r="B18" s="213"/>
      <c r="C18" s="214" t="s">
        <v>158</v>
      </c>
      <c r="D18" s="192">
        <f>B15*0.25</f>
        <v>27500</v>
      </c>
    </row>
    <row r="19" spans="1:4" x14ac:dyDescent="0.35">
      <c r="A19" s="237" t="s">
        <v>97</v>
      </c>
      <c r="B19" s="213"/>
      <c r="C19" s="214" t="s">
        <v>158</v>
      </c>
      <c r="D19" s="192">
        <f>B15*0.1</f>
        <v>11000</v>
      </c>
    </row>
    <row r="20" spans="1:4" x14ac:dyDescent="0.35">
      <c r="A20" s="236" t="s">
        <v>98</v>
      </c>
      <c r="B20" s="213"/>
      <c r="C20" s="214" t="s">
        <v>158</v>
      </c>
      <c r="D20" s="192">
        <f>B15*0.15</f>
        <v>16500</v>
      </c>
    </row>
    <row r="21" spans="1:4" x14ac:dyDescent="0.35">
      <c r="A21" s="237" t="s">
        <v>99</v>
      </c>
      <c r="B21" s="213"/>
      <c r="C21" s="214" t="s">
        <v>158</v>
      </c>
      <c r="D21" s="192">
        <f>B15*0.1</f>
        <v>11000</v>
      </c>
    </row>
    <row r="22" spans="1:4" x14ac:dyDescent="0.35">
      <c r="A22" s="238" t="s">
        <v>100</v>
      </c>
      <c r="B22" s="216"/>
      <c r="C22" s="219"/>
      <c r="D22" s="204">
        <f t="shared" ref="D22:D51" si="1">IF(C22="Ja",B22,0)</f>
        <v>0</v>
      </c>
    </row>
    <row r="23" spans="1:4" x14ac:dyDescent="0.35">
      <c r="A23" s="238" t="s">
        <v>101</v>
      </c>
      <c r="B23" s="216"/>
      <c r="C23" s="219"/>
      <c r="D23" s="204">
        <f t="shared" si="1"/>
        <v>0</v>
      </c>
    </row>
    <row r="24" spans="1:4" x14ac:dyDescent="0.35">
      <c r="A24" s="238" t="s">
        <v>102</v>
      </c>
      <c r="B24" s="216"/>
      <c r="C24" s="219"/>
      <c r="D24" s="204">
        <f t="shared" si="1"/>
        <v>0</v>
      </c>
    </row>
    <row r="25" spans="1:4" x14ac:dyDescent="0.35">
      <c r="A25" s="238" t="s">
        <v>103</v>
      </c>
      <c r="B25" s="216"/>
      <c r="C25" s="219"/>
      <c r="D25" s="204">
        <f t="shared" si="1"/>
        <v>0</v>
      </c>
    </row>
    <row r="26" spans="1:4" x14ac:dyDescent="0.35">
      <c r="A26" s="238" t="s">
        <v>104</v>
      </c>
      <c r="B26" s="216"/>
      <c r="C26" s="219"/>
      <c r="D26" s="204">
        <f t="shared" si="1"/>
        <v>0</v>
      </c>
    </row>
    <row r="27" spans="1:4" x14ac:dyDescent="0.35">
      <c r="A27" s="238" t="s">
        <v>105</v>
      </c>
      <c r="B27" s="216"/>
      <c r="C27" s="219"/>
      <c r="D27" s="204">
        <f t="shared" si="1"/>
        <v>0</v>
      </c>
    </row>
    <row r="28" spans="1:4" x14ac:dyDescent="0.35">
      <c r="A28" s="238" t="s">
        <v>106</v>
      </c>
      <c r="B28" s="216">
        <v>35000</v>
      </c>
      <c r="C28" s="219" t="s">
        <v>158</v>
      </c>
      <c r="D28" s="204">
        <f t="shared" si="1"/>
        <v>35000</v>
      </c>
    </row>
    <row r="29" spans="1:4" x14ac:dyDescent="0.35">
      <c r="A29" s="238" t="s">
        <v>107</v>
      </c>
      <c r="B29" s="216"/>
      <c r="C29" s="219"/>
      <c r="D29" s="204">
        <f t="shared" si="1"/>
        <v>0</v>
      </c>
    </row>
    <row r="30" spans="1:4" x14ac:dyDescent="0.35">
      <c r="A30" s="238" t="s">
        <v>108</v>
      </c>
      <c r="B30" s="216"/>
      <c r="C30" s="219"/>
      <c r="D30" s="204">
        <f t="shared" si="1"/>
        <v>0</v>
      </c>
    </row>
    <row r="31" spans="1:4" x14ac:dyDescent="0.35">
      <c r="A31" s="238" t="s">
        <v>109</v>
      </c>
      <c r="B31" s="216"/>
      <c r="C31" s="219"/>
      <c r="D31" s="204">
        <f t="shared" si="1"/>
        <v>0</v>
      </c>
    </row>
    <row r="32" spans="1:4" x14ac:dyDescent="0.35">
      <c r="A32" s="238" t="s">
        <v>110</v>
      </c>
      <c r="B32" s="216">
        <f>40*110</f>
        <v>4400</v>
      </c>
      <c r="C32" s="219" t="s">
        <v>158</v>
      </c>
      <c r="D32" s="204">
        <f t="shared" si="1"/>
        <v>4400</v>
      </c>
    </row>
    <row r="33" spans="1:4" x14ac:dyDescent="0.35">
      <c r="A33" s="238" t="s">
        <v>111</v>
      </c>
      <c r="B33" s="216">
        <v>20000</v>
      </c>
      <c r="C33" s="219" t="s">
        <v>158</v>
      </c>
      <c r="D33" s="204">
        <f t="shared" si="1"/>
        <v>20000</v>
      </c>
    </row>
    <row r="34" spans="1:4" x14ac:dyDescent="0.35">
      <c r="A34" s="238" t="s">
        <v>112</v>
      </c>
      <c r="B34" s="216">
        <v>600</v>
      </c>
      <c r="C34" s="219" t="s">
        <v>158</v>
      </c>
      <c r="D34" s="204">
        <f t="shared" si="1"/>
        <v>600</v>
      </c>
    </row>
    <row r="35" spans="1:4" x14ac:dyDescent="0.35">
      <c r="A35" s="238" t="s">
        <v>113</v>
      </c>
      <c r="B35" s="216">
        <v>7000</v>
      </c>
      <c r="C35" s="219" t="s">
        <v>158</v>
      </c>
      <c r="D35" s="204">
        <f t="shared" si="1"/>
        <v>7000</v>
      </c>
    </row>
    <row r="36" spans="1:4" x14ac:dyDescent="0.35">
      <c r="A36" s="238" t="s">
        <v>114</v>
      </c>
      <c r="B36" s="216">
        <v>3000</v>
      </c>
      <c r="C36" s="219" t="s">
        <v>158</v>
      </c>
      <c r="D36" s="204">
        <f t="shared" si="1"/>
        <v>3000</v>
      </c>
    </row>
    <row r="37" spans="1:4" x14ac:dyDescent="0.35">
      <c r="A37" s="233">
        <f>SUM(B38:B46)</f>
        <v>6000</v>
      </c>
      <c r="B37" s="217" t="s">
        <v>165</v>
      </c>
      <c r="C37" s="220"/>
      <c r="D37" s="195"/>
    </row>
    <row r="38" spans="1:4" x14ac:dyDescent="0.35">
      <c r="A38" s="238" t="s">
        <v>115</v>
      </c>
      <c r="B38" s="216">
        <v>6000</v>
      </c>
      <c r="C38" s="214" t="s">
        <v>158</v>
      </c>
      <c r="D38" s="204">
        <f t="shared" si="1"/>
        <v>6000</v>
      </c>
    </row>
    <row r="39" spans="1:4" x14ac:dyDescent="0.35">
      <c r="A39" s="238" t="s">
        <v>116</v>
      </c>
      <c r="B39" s="216"/>
      <c r="C39" s="215"/>
      <c r="D39" s="204">
        <f t="shared" si="1"/>
        <v>0</v>
      </c>
    </row>
    <row r="40" spans="1:4" x14ac:dyDescent="0.35">
      <c r="A40" s="238" t="s">
        <v>117</v>
      </c>
      <c r="B40" s="216"/>
      <c r="C40" s="215"/>
      <c r="D40" s="204">
        <f t="shared" si="1"/>
        <v>0</v>
      </c>
    </row>
    <row r="41" spans="1:4" x14ac:dyDescent="0.35">
      <c r="A41" s="238" t="s">
        <v>118</v>
      </c>
      <c r="B41" s="216"/>
      <c r="C41" s="215"/>
      <c r="D41" s="204">
        <f t="shared" si="1"/>
        <v>0</v>
      </c>
    </row>
    <row r="42" spans="1:4" x14ac:dyDescent="0.35">
      <c r="A42" s="238" t="s">
        <v>119</v>
      </c>
      <c r="B42" s="216"/>
      <c r="C42" s="215"/>
      <c r="D42" s="204">
        <f t="shared" si="1"/>
        <v>0</v>
      </c>
    </row>
    <row r="43" spans="1:4" x14ac:dyDescent="0.35">
      <c r="A43" s="238" t="s">
        <v>120</v>
      </c>
      <c r="B43" s="216"/>
      <c r="C43" s="215"/>
      <c r="D43" s="204">
        <f t="shared" si="1"/>
        <v>0</v>
      </c>
    </row>
    <row r="44" spans="1:4" x14ac:dyDescent="0.35">
      <c r="A44" s="238" t="s">
        <v>121</v>
      </c>
      <c r="B44" s="216"/>
      <c r="C44" s="215"/>
      <c r="D44" s="204">
        <f t="shared" si="1"/>
        <v>0</v>
      </c>
    </row>
    <row r="45" spans="1:4" x14ac:dyDescent="0.35">
      <c r="A45" s="238" t="s">
        <v>122</v>
      </c>
      <c r="B45" s="216"/>
      <c r="C45" s="215"/>
      <c r="D45" s="204">
        <f t="shared" si="1"/>
        <v>0</v>
      </c>
    </row>
    <row r="46" spans="1:4" x14ac:dyDescent="0.35">
      <c r="A46" s="238" t="s">
        <v>123</v>
      </c>
      <c r="B46" s="216" t="s">
        <v>135</v>
      </c>
      <c r="C46" s="215"/>
      <c r="D46" s="204">
        <f t="shared" si="1"/>
        <v>0</v>
      </c>
    </row>
    <row r="47" spans="1:4" x14ac:dyDescent="0.35">
      <c r="A47" s="233">
        <f>SUM(B48:B51)</f>
        <v>15900</v>
      </c>
      <c r="B47" s="217" t="s">
        <v>124</v>
      </c>
      <c r="C47" s="220"/>
      <c r="D47" s="188"/>
    </row>
    <row r="48" spans="1:4" x14ac:dyDescent="0.35">
      <c r="A48" s="238" t="s">
        <v>125</v>
      </c>
      <c r="B48" s="216">
        <v>8000</v>
      </c>
      <c r="C48" s="214" t="s">
        <v>158</v>
      </c>
      <c r="D48" s="204">
        <f t="shared" si="1"/>
        <v>8000</v>
      </c>
    </row>
    <row r="49" spans="1:5" x14ac:dyDescent="0.35">
      <c r="A49" s="238" t="s">
        <v>126</v>
      </c>
      <c r="B49" s="216"/>
      <c r="C49" s="215"/>
      <c r="D49" s="204">
        <f t="shared" si="1"/>
        <v>0</v>
      </c>
    </row>
    <row r="50" spans="1:5" x14ac:dyDescent="0.35">
      <c r="A50" s="235" t="s">
        <v>149</v>
      </c>
      <c r="B50" s="216">
        <v>900</v>
      </c>
      <c r="C50" s="219" t="s">
        <v>158</v>
      </c>
      <c r="D50" s="204">
        <f t="shared" si="1"/>
        <v>900</v>
      </c>
    </row>
    <row r="51" spans="1:5" x14ac:dyDescent="0.35">
      <c r="A51" s="239" t="s">
        <v>127</v>
      </c>
      <c r="B51" s="216">
        <v>7000</v>
      </c>
      <c r="C51" s="214" t="s">
        <v>158</v>
      </c>
      <c r="D51" s="204">
        <f t="shared" si="1"/>
        <v>7000</v>
      </c>
    </row>
    <row r="52" spans="1:5" x14ac:dyDescent="0.35">
      <c r="A52" s="240" t="s">
        <v>128</v>
      </c>
      <c r="B52" s="217"/>
      <c r="C52" s="220"/>
      <c r="D52" s="195"/>
    </row>
    <row r="53" spans="1:5" x14ac:dyDescent="0.35">
      <c r="A53" s="241" t="s">
        <v>129</v>
      </c>
      <c r="B53" s="221">
        <v>300</v>
      </c>
      <c r="C53" s="222" t="s">
        <v>159</v>
      </c>
      <c r="D53" s="205">
        <f>B53</f>
        <v>300</v>
      </c>
    </row>
    <row r="54" spans="1:5" x14ac:dyDescent="0.35">
      <c r="A54" s="234" t="s">
        <v>130</v>
      </c>
      <c r="B54" s="216"/>
      <c r="C54" s="215"/>
      <c r="D54" s="204">
        <f t="shared" ref="D54:D57" si="2">IF(C54="Ja",B54,0)</f>
        <v>0</v>
      </c>
    </row>
    <row r="55" spans="1:5" x14ac:dyDescent="0.35">
      <c r="A55" s="238" t="s">
        <v>131</v>
      </c>
      <c r="B55" s="216">
        <v>4000</v>
      </c>
      <c r="C55" s="214" t="s">
        <v>159</v>
      </c>
      <c r="D55" s="204">
        <f t="shared" si="2"/>
        <v>0</v>
      </c>
    </row>
    <row r="56" spans="1:5" x14ac:dyDescent="0.35">
      <c r="A56" s="238" t="s">
        <v>132</v>
      </c>
      <c r="B56" s="216">
        <v>3000</v>
      </c>
      <c r="C56" s="214" t="s">
        <v>159</v>
      </c>
      <c r="D56" s="204">
        <f t="shared" si="2"/>
        <v>0</v>
      </c>
    </row>
    <row r="57" spans="1:5" x14ac:dyDescent="0.35">
      <c r="A57" s="234" t="s">
        <v>133</v>
      </c>
      <c r="B57" s="216" t="s">
        <v>134</v>
      </c>
      <c r="C57" s="214" t="s">
        <v>159</v>
      </c>
      <c r="D57" s="204">
        <f t="shared" si="2"/>
        <v>0</v>
      </c>
    </row>
    <row r="58" spans="1:5" x14ac:dyDescent="0.35">
      <c r="A58" s="240" t="s">
        <v>136</v>
      </c>
      <c r="B58" s="217"/>
      <c r="C58" s="220"/>
      <c r="D58" s="195"/>
    </row>
    <row r="59" spans="1:5" x14ac:dyDescent="0.35">
      <c r="A59" s="234" t="s">
        <v>137</v>
      </c>
      <c r="B59" s="216" t="s">
        <v>135</v>
      </c>
      <c r="C59" s="215"/>
      <c r="D59" s="192" t="s">
        <v>135</v>
      </c>
    </row>
    <row r="60" spans="1:5" x14ac:dyDescent="0.35">
      <c r="A60" s="242" t="s">
        <v>138</v>
      </c>
      <c r="B60" s="223">
        <v>450</v>
      </c>
      <c r="C60" s="224" t="s">
        <v>159</v>
      </c>
      <c r="D60" s="204">
        <f t="shared" ref="D60:D66" si="3">IF(C60="Ja",B60,0)</f>
        <v>0</v>
      </c>
    </row>
    <row r="61" spans="1:5" s="185" customFormat="1" x14ac:dyDescent="0.35">
      <c r="A61" s="243" t="s">
        <v>150</v>
      </c>
      <c r="B61" s="223">
        <v>1000</v>
      </c>
      <c r="C61" s="224" t="s">
        <v>159</v>
      </c>
      <c r="D61" s="204">
        <f t="shared" si="3"/>
        <v>0</v>
      </c>
    </row>
    <row r="62" spans="1:5" s="185" customFormat="1" x14ac:dyDescent="0.35">
      <c r="A62" s="243" t="s">
        <v>151</v>
      </c>
      <c r="B62" s="223">
        <v>2000</v>
      </c>
      <c r="C62" s="224" t="s">
        <v>159</v>
      </c>
      <c r="D62" s="204">
        <f t="shared" si="3"/>
        <v>0</v>
      </c>
    </row>
    <row r="63" spans="1:5" x14ac:dyDescent="0.35">
      <c r="A63" s="242" t="s">
        <v>139</v>
      </c>
      <c r="B63" s="223">
        <v>4000</v>
      </c>
      <c r="C63" s="224" t="s">
        <v>159</v>
      </c>
      <c r="D63" s="204">
        <f t="shared" si="3"/>
        <v>0</v>
      </c>
      <c r="E63" s="184"/>
    </row>
    <row r="64" spans="1:5" x14ac:dyDescent="0.35">
      <c r="A64" s="242" t="s">
        <v>140</v>
      </c>
      <c r="B64" s="223">
        <v>150</v>
      </c>
      <c r="C64" s="224" t="s">
        <v>159</v>
      </c>
      <c r="D64" s="204">
        <f t="shared" si="3"/>
        <v>0</v>
      </c>
    </row>
    <row r="65" spans="1:4" x14ac:dyDescent="0.35">
      <c r="A65" s="242" t="s">
        <v>141</v>
      </c>
      <c r="B65" s="223">
        <v>700</v>
      </c>
      <c r="C65" s="224" t="s">
        <v>159</v>
      </c>
      <c r="D65" s="204">
        <f t="shared" si="3"/>
        <v>0</v>
      </c>
    </row>
    <row r="66" spans="1:4" x14ac:dyDescent="0.35">
      <c r="A66" s="242" t="s">
        <v>142</v>
      </c>
      <c r="B66" s="223">
        <v>400</v>
      </c>
      <c r="C66" s="224" t="s">
        <v>159</v>
      </c>
      <c r="D66" s="204">
        <f t="shared" si="3"/>
        <v>0</v>
      </c>
    </row>
    <row r="67" spans="1:4" x14ac:dyDescent="0.35">
      <c r="A67" s="240" t="s">
        <v>143</v>
      </c>
      <c r="B67" s="217"/>
      <c r="C67" s="218"/>
      <c r="D67" s="195"/>
    </row>
    <row r="68" spans="1:4" x14ac:dyDescent="0.35">
      <c r="A68" s="242" t="s">
        <v>144</v>
      </c>
      <c r="B68" s="223"/>
      <c r="C68" s="224" t="s">
        <v>158</v>
      </c>
      <c r="D68" s="206">
        <f>B68</f>
        <v>0</v>
      </c>
    </row>
    <row r="69" spans="1:4" x14ac:dyDescent="0.35">
      <c r="A69" s="244" t="s">
        <v>166</v>
      </c>
      <c r="B69" s="216">
        <v>1000</v>
      </c>
      <c r="C69" s="219" t="s">
        <v>159</v>
      </c>
      <c r="D69" s="206">
        <f t="shared" ref="D69:D70" si="4">B69</f>
        <v>1000</v>
      </c>
    </row>
    <row r="70" spans="1:4" x14ac:dyDescent="0.35">
      <c r="A70" s="243" t="s">
        <v>152</v>
      </c>
      <c r="B70" s="223">
        <v>500</v>
      </c>
      <c r="C70" s="225" t="s">
        <v>159</v>
      </c>
      <c r="D70" s="206">
        <f t="shared" si="4"/>
        <v>500</v>
      </c>
    </row>
    <row r="71" spans="1:4" x14ac:dyDescent="0.35">
      <c r="A71" s="244" t="s">
        <v>153</v>
      </c>
      <c r="B71" s="216"/>
      <c r="C71" s="219" t="s">
        <v>159</v>
      </c>
      <c r="D71" s="204">
        <f t="shared" ref="D71:D73" si="5">IF(C71="Ja",B71,0)</f>
        <v>0</v>
      </c>
    </row>
    <row r="72" spans="1:4" x14ac:dyDescent="0.35">
      <c r="A72" s="239" t="s">
        <v>145</v>
      </c>
      <c r="B72" s="216"/>
      <c r="C72" s="219" t="s">
        <v>159</v>
      </c>
      <c r="D72" s="204">
        <f t="shared" si="5"/>
        <v>0</v>
      </c>
    </row>
    <row r="73" spans="1:4" x14ac:dyDescent="0.35">
      <c r="A73" s="234" t="s">
        <v>146</v>
      </c>
      <c r="B73" s="216"/>
      <c r="C73" s="219" t="s">
        <v>159</v>
      </c>
      <c r="D73" s="204">
        <f t="shared" si="5"/>
        <v>0</v>
      </c>
    </row>
    <row r="74" spans="1:4" ht="15" thickBot="1" x14ac:dyDescent="0.4">
      <c r="A74" s="245" t="s">
        <v>167</v>
      </c>
      <c r="B74" s="226">
        <v>25000</v>
      </c>
      <c r="C74" s="227" t="s">
        <v>159</v>
      </c>
      <c r="D74" s="196">
        <f>B74</f>
        <v>25000</v>
      </c>
    </row>
    <row r="75" spans="1:4" ht="15" thickTop="1" x14ac:dyDescent="0.35">
      <c r="A75" s="191" t="s">
        <v>147</v>
      </c>
      <c r="B75" s="216">
        <f>SUM(B7:B74)</f>
        <v>288095.14</v>
      </c>
      <c r="C75" s="228"/>
      <c r="D75" s="200">
        <f>SUM(D7:D74)</f>
        <v>272395.14</v>
      </c>
    </row>
    <row r="76" spans="1:4" s="185" customFormat="1" x14ac:dyDescent="0.35">
      <c r="A76" s="186" t="s">
        <v>162</v>
      </c>
      <c r="B76" s="216">
        <v>0</v>
      </c>
      <c r="C76" s="228"/>
      <c r="D76" s="192">
        <f>B75-D75</f>
        <v>15700</v>
      </c>
    </row>
    <row r="77" spans="1:4" ht="15" thickBot="1" x14ac:dyDescent="0.4">
      <c r="A77" s="187" t="s">
        <v>154</v>
      </c>
      <c r="B77" s="229">
        <v>60000</v>
      </c>
      <c r="C77" s="230"/>
      <c r="D77" s="207">
        <f>B77</f>
        <v>60000</v>
      </c>
    </row>
    <row r="78" spans="1:4" x14ac:dyDescent="0.35">
      <c r="A78" s="183" t="s">
        <v>155</v>
      </c>
      <c r="B78" s="231">
        <f>B75-B77</f>
        <v>228095.14</v>
      </c>
      <c r="C78" s="232"/>
      <c r="D78" s="184">
        <f>D75-D77-D76</f>
        <v>196695.14</v>
      </c>
    </row>
    <row r="79" spans="1:4" s="185" customFormat="1" x14ac:dyDescent="0.35">
      <c r="A79" s="183"/>
      <c r="B79" s="231"/>
      <c r="C79" s="232"/>
      <c r="D79" s="184"/>
    </row>
    <row r="80" spans="1:4" ht="15" thickBot="1" x14ac:dyDescent="0.4">
      <c r="A80" s="183" t="s">
        <v>161</v>
      </c>
      <c r="B80" s="229">
        <v>2000</v>
      </c>
      <c r="C80" s="232"/>
    </row>
    <row r="81" spans="1:3" x14ac:dyDescent="0.35">
      <c r="A81" s="183" t="s">
        <v>160</v>
      </c>
      <c r="B81" s="231">
        <f>B75+B80</f>
        <v>290095.14</v>
      </c>
      <c r="C81" s="232"/>
    </row>
  </sheetData>
  <sheetProtection sheet="1" objects="1" scenarios="1" insertRows="0"/>
  <conditionalFormatting sqref="D7:D74">
    <cfRule type="expression" dxfId="0" priority="1">
      <formula>$D$7&lt;&gt;$B$7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kavelprijs</vt:lpstr>
      <vt:lpstr>Initiatief</vt:lpstr>
      <vt:lpstr>kavelprijs!Afdrukbereik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Meijers</dc:creator>
  <cp:keywords/>
  <dc:description/>
  <cp:lastModifiedBy>Johan Neuts</cp:lastModifiedBy>
  <cp:lastPrinted>2017-02-20T13:09:40Z</cp:lastPrinted>
  <dcterms:created xsi:type="dcterms:W3CDTF">2014-11-18T14:16:23Z</dcterms:created>
  <dcterms:modified xsi:type="dcterms:W3CDTF">2018-11-03T14:07:06Z</dcterms:modified>
  <cp:category/>
</cp:coreProperties>
</file>